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2024.12.13/"/>
    </mc:Choice>
  </mc:AlternateContent>
  <xr:revisionPtr revIDLastSave="371" documentId="8_{5B4D38CF-DA48-4A98-9B85-254C3CE79DA3}" xr6:coauthVersionLast="47" xr6:coauthVersionMax="47" xr10:uidLastSave="{5CA3166F-4D49-4A2B-85CE-4686AF73DB1E}"/>
  <bookViews>
    <workbookView xWindow="-120" yWindow="-120" windowWidth="29040" windowHeight="15840" tabRatio="859" xr2:uid="{00000000-000D-0000-FFFF-FFFF00000000}"/>
  </bookViews>
  <sheets>
    <sheet name="start here-do not delete" sheetId="1" r:id="rId1"/>
    <sheet name="Exh A Rate Info Sheet" sheetId="19" r:id="rId2"/>
    <sheet name="Exh C actual base" sheetId="13" r:id="rId3"/>
    <sheet name="Exh C-1 IndirectCostCollection" sheetId="18" r:id="rId4"/>
    <sheet name="Exh D proposed base" sheetId="7" r:id="rId5"/>
    <sheet name="Exh E-1 actual pool" sheetId="8" r:id="rId6"/>
    <sheet name="Exh E-2 proposed pool" sheetId="9" r:id="rId7"/>
    <sheet name="Exh F reconciliation" sheetId="10" r:id="rId8"/>
    <sheet name="Exh G depreciation" sheetId="14" r:id="rId9"/>
    <sheet name="Exh H professional services" sheetId="17" r:id="rId10"/>
    <sheet name="Exh I GL of pool account" sheetId="20" r:id="rId11"/>
    <sheet name="Exh J GL of IDC revenue" sheetId="21" r:id="rId12"/>
    <sheet name="Exh B-2 Carryforward &amp; Rate SW" sheetId="22" r:id="rId13"/>
    <sheet name="Exh B-4 (PRO-FIN)" sheetId="24" r:id="rId14"/>
  </sheets>
  <definedNames>
    <definedName name="Z_55322F06_EF2B_4EBF_91FC_6C830D0D22C9_.wvu.PrintTitles" localSheetId="4" hidden="1">'Exh D proposed base'!$1:$8</definedName>
    <definedName name="Z_55322F06_EF2B_4EBF_91FC_6C830D0D22C9_.wvu.PrintTitles" localSheetId="5" hidden="1">'Exh E-1 actual pool'!$1:$7</definedName>
    <definedName name="Z_55322F06_EF2B_4EBF_91FC_6C830D0D22C9_.wvu.PrintTitles" localSheetId="6" hidden="1">'Exh E-2 proposed pool'!$1:$7</definedName>
    <definedName name="Z_96FAF5F8_BD57_4EDE_AC8B_7E6854529246_.wvu.PrintTitles" localSheetId="4" hidden="1">'Exh D proposed base'!$1:$8</definedName>
    <definedName name="Z_96FAF5F8_BD57_4EDE_AC8B_7E6854529246_.wvu.PrintTitles" localSheetId="5" hidden="1">'Exh E-1 actual pool'!$1:$7</definedName>
    <definedName name="Z_96FAF5F8_BD57_4EDE_AC8B_7E6854529246_.wvu.PrintTitles" localSheetId="6" hidden="1">'Exh E-2 proposed pool'!$1:$7</definedName>
    <definedName name="Z_EC77BDF0_E4AB_4C37_A286_B132C795CB0B_.wvu.PrintTitles" localSheetId="4" hidden="1">'Exh D proposed base'!$1:$8</definedName>
    <definedName name="Z_EC77BDF0_E4AB_4C37_A286_B132C795CB0B_.wvu.PrintTitles" localSheetId="5" hidden="1">'Exh E-1 actual pool'!$1:$7</definedName>
    <definedName name="Z_EC77BDF0_E4AB_4C37_A286_B132C795CB0B_.wvu.PrintTitles" localSheetId="6" hidden="1">'Exh E-2 proposed pool'!$1:$7</definedName>
  </definedNames>
  <calcPr calcId="191029"/>
  <customWorkbookViews>
    <customWorkbookView name="user - Personal View" guid="{96FAF5F8-BD57-4EDE-AC8B-7E6854529246}" mergeInterval="0" personalView="1" maximized="1" windowWidth="1020" windowHeight="578" tabRatio="953" activeSheetId="10"/>
    <customWorkbookView name="National Business Center - Personal View" guid="{EC77BDF0-E4AB-4C37-A286-B132C795CB0B}" mergeInterval="0" personalView="1" maximized="1" windowWidth="950" windowHeight="597" tabRatio="953" activeSheetId="1"/>
    <customWorkbookView name="Victor Sepulveda - Personal View" guid="{55322F06-EF2B-4EBF-91FC-6C830D0D22C9}" mergeInterval="0" personalView="1" maximized="1" windowWidth="1276" windowHeight="851" tabRatio="953"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2" l="1"/>
  <c r="A1" i="21"/>
  <c r="A1" i="20"/>
  <c r="A1" i="17"/>
  <c r="A1" i="14"/>
  <c r="A1" i="10"/>
  <c r="A1" i="9"/>
  <c r="A1" i="8"/>
  <c r="B1" i="7"/>
  <c r="A1" i="18"/>
  <c r="B1" i="13"/>
  <c r="AH69" i="13"/>
  <c r="K12" i="22"/>
  <c r="B4" i="19"/>
  <c r="D30" i="10"/>
  <c r="Z190" i="13"/>
  <c r="AB190" i="13" s="1"/>
  <c r="J190" i="13"/>
  <c r="Z189" i="13"/>
  <c r="AB189" i="13" s="1"/>
  <c r="Z188" i="13"/>
  <c r="AB188" i="13" s="1"/>
  <c r="E52" i="10"/>
  <c r="D52" i="10"/>
  <c r="D40" i="10"/>
  <c r="AB187" i="13"/>
  <c r="P49" i="8"/>
  <c r="N12" i="9"/>
  <c r="S12" i="9" s="1"/>
  <c r="W199" i="7"/>
  <c r="U199" i="7"/>
  <c r="U47" i="7"/>
  <c r="W47" i="7" s="1"/>
  <c r="F187" i="13"/>
  <c r="J187" i="13" s="1"/>
  <c r="G24" i="14"/>
  <c r="G23" i="14"/>
  <c r="G22" i="14"/>
  <c r="G21" i="14"/>
  <c r="G20" i="14"/>
  <c r="G19" i="14"/>
  <c r="G14" i="14"/>
  <c r="G15" i="14"/>
  <c r="G16" i="14"/>
  <c r="G13" i="14"/>
  <c r="H63" i="8"/>
  <c r="N13" i="8"/>
  <c r="R13" i="8" s="1"/>
  <c r="Z200" i="13"/>
  <c r="AB200" i="13" s="1"/>
  <c r="J63" i="13"/>
  <c r="J61" i="13"/>
  <c r="Y189" i="7" l="1"/>
  <c r="AB189" i="7" s="1"/>
  <c r="AD190" i="13"/>
  <c r="P12" i="9"/>
  <c r="Y64" i="7"/>
  <c r="AB64" i="7" s="1"/>
  <c r="Y62" i="7"/>
  <c r="AB62" i="7" s="1"/>
  <c r="P13" i="8"/>
  <c r="AD63" i="13"/>
  <c r="AD61" i="13"/>
  <c r="D4" i="24" l="1"/>
  <c r="A1" i="24" l="1"/>
  <c r="Y184" i="7" l="1"/>
  <c r="AB184" i="7" s="1"/>
  <c r="D10" i="24" l="1"/>
  <c r="I99" i="7"/>
  <c r="G99" i="7"/>
  <c r="AB34" i="7"/>
  <c r="AB24" i="7"/>
  <c r="AB93" i="7"/>
  <c r="AB43" i="7"/>
  <c r="J177" i="13"/>
  <c r="AB114" i="13"/>
  <c r="AB98" i="13"/>
  <c r="Z98" i="13"/>
  <c r="D47" i="24"/>
  <c r="D31" i="24"/>
  <c r="D15" i="24"/>
  <c r="AB20" i="7"/>
  <c r="AB22" i="7"/>
  <c r="AB23" i="7"/>
  <c r="AB29" i="7"/>
  <c r="AB31" i="7"/>
  <c r="AB32" i="7"/>
  <c r="AB33" i="7"/>
  <c r="AB39" i="7"/>
  <c r="AB41" i="7"/>
  <c r="AB42" i="7"/>
  <c r="AB48" i="7"/>
  <c r="AB50" i="7"/>
  <c r="AB51" i="7"/>
  <c r="AB56" i="7"/>
  <c r="AB58" i="7"/>
  <c r="AB59" i="7"/>
  <c r="AB65" i="7"/>
  <c r="AB67" i="7"/>
  <c r="AB68" i="7"/>
  <c r="AB73" i="7"/>
  <c r="AB75" i="7"/>
  <c r="AB76" i="7"/>
  <c r="AB81" i="7"/>
  <c r="AB83" i="7"/>
  <c r="AB84" i="7"/>
  <c r="AB89" i="7"/>
  <c r="AB91" i="7"/>
  <c r="AB92" i="7"/>
  <c r="AB98" i="7"/>
  <c r="AB100" i="7"/>
  <c r="AB101" i="7"/>
  <c r="AB106" i="7"/>
  <c r="AB108" i="7"/>
  <c r="AB109" i="7"/>
  <c r="AB114" i="7"/>
  <c r="AB116" i="7"/>
  <c r="AB117" i="7"/>
  <c r="AB122" i="7"/>
  <c r="AB124" i="7"/>
  <c r="AB125" i="7"/>
  <c r="AB130" i="7"/>
  <c r="AB132" i="7"/>
  <c r="AB133" i="7"/>
  <c r="AB138" i="7"/>
  <c r="AB140" i="7"/>
  <c r="AB141" i="7"/>
  <c r="AB146" i="7"/>
  <c r="AB148" i="7"/>
  <c r="AB149" i="7"/>
  <c r="AB154" i="7"/>
  <c r="AB156" i="7"/>
  <c r="AB157" i="7"/>
  <c r="AB162" i="7"/>
  <c r="AB164" i="7"/>
  <c r="AB165" i="7"/>
  <c r="AB167" i="7"/>
  <c r="AB168" i="7"/>
  <c r="AB173" i="7"/>
  <c r="AB175" i="7"/>
  <c r="AB176" i="7"/>
  <c r="AB180" i="7"/>
  <c r="AB182" i="7"/>
  <c r="AB183" i="7"/>
  <c r="AB191" i="7"/>
  <c r="AB193" i="7"/>
  <c r="A35" i="1"/>
  <c r="C41" i="22"/>
  <c r="C48" i="22" s="1"/>
  <c r="C5" i="22"/>
  <c r="G5" i="22" s="1"/>
  <c r="C36" i="22"/>
  <c r="C18" i="22" l="1"/>
  <c r="K51" i="22"/>
  <c r="I5" i="22"/>
  <c r="C42" i="22"/>
  <c r="J42" i="22"/>
  <c r="C44" i="22"/>
  <c r="C46" i="22"/>
  <c r="Y159" i="7" l="1"/>
  <c r="AB159" i="7" s="1"/>
  <c r="Y187" i="7"/>
  <c r="AB187" i="7" s="1"/>
  <c r="AB190" i="7"/>
  <c r="Y188" i="7"/>
  <c r="AB188" i="7" s="1"/>
  <c r="Y185" i="7"/>
  <c r="AB185" i="7" s="1"/>
  <c r="Y179" i="7"/>
  <c r="AB179" i="7" s="1"/>
  <c r="Y178" i="7"/>
  <c r="AB178" i="7" s="1"/>
  <c r="Y177" i="7"/>
  <c r="AB177" i="7" s="1"/>
  <c r="Y19" i="7"/>
  <c r="AB19" i="7" s="1"/>
  <c r="Y18" i="7"/>
  <c r="AB18" i="7" s="1"/>
  <c r="Y17" i="7"/>
  <c r="AB17" i="7" s="1"/>
  <c r="Y16" i="7"/>
  <c r="AB16" i="7" s="1"/>
  <c r="AD177" i="13"/>
  <c r="E62" i="10" l="1"/>
  <c r="G4" i="24"/>
  <c r="G10" i="24" s="1"/>
  <c r="D26" i="24"/>
  <c r="D42" i="24" l="1"/>
  <c r="G26" i="24"/>
  <c r="G42" i="24"/>
  <c r="W204" i="7"/>
  <c r="U204" i="7"/>
  <c r="D34" i="17" l="1"/>
  <c r="D18" i="17"/>
  <c r="S15" i="9"/>
  <c r="S17" i="9"/>
  <c r="S20" i="9"/>
  <c r="S22" i="9"/>
  <c r="S26" i="9"/>
  <c r="S28" i="9"/>
  <c r="S31" i="9"/>
  <c r="S33" i="9"/>
  <c r="S35" i="9"/>
  <c r="S37" i="9"/>
  <c r="S62" i="9"/>
  <c r="S64" i="9"/>
  <c r="S66" i="9"/>
  <c r="R15" i="8"/>
  <c r="R17" i="8"/>
  <c r="R20" i="8"/>
  <c r="R22" i="8"/>
  <c r="R26" i="8"/>
  <c r="R28" i="8"/>
  <c r="R31" i="8"/>
  <c r="R33" i="8"/>
  <c r="R35" i="8"/>
  <c r="R37" i="8"/>
  <c r="R62" i="8"/>
  <c r="R64" i="8"/>
  <c r="R66" i="8"/>
  <c r="N10" i="9"/>
  <c r="S10" i="9" s="1"/>
  <c r="E181" i="7"/>
  <c r="E174" i="7"/>
  <c r="E163" i="7"/>
  <c r="E155" i="7"/>
  <c r="E147" i="7"/>
  <c r="E139" i="7"/>
  <c r="E131" i="7"/>
  <c r="E123" i="7"/>
  <c r="E115" i="7"/>
  <c r="E107" i="7"/>
  <c r="E99" i="7"/>
  <c r="E90" i="7"/>
  <c r="E82" i="7"/>
  <c r="E74" i="7"/>
  <c r="E66" i="7"/>
  <c r="E57" i="7"/>
  <c r="E49" i="7"/>
  <c r="E40" i="7"/>
  <c r="E30" i="7"/>
  <c r="E21" i="7"/>
  <c r="W192" i="7" l="1"/>
  <c r="S192" i="7"/>
  <c r="M192" i="7"/>
  <c r="I192" i="7"/>
  <c r="G192" i="7"/>
  <c r="W174" i="7"/>
  <c r="S174" i="7"/>
  <c r="Q174" i="7"/>
  <c r="O174" i="7"/>
  <c r="M174" i="7"/>
  <c r="K174" i="7"/>
  <c r="I174" i="7"/>
  <c r="G174" i="7"/>
  <c r="W163" i="7"/>
  <c r="S163" i="7"/>
  <c r="Q163" i="7"/>
  <c r="O163" i="7"/>
  <c r="M163" i="7"/>
  <c r="K163" i="7"/>
  <c r="I163" i="7"/>
  <c r="G163" i="7"/>
  <c r="W155" i="7"/>
  <c r="S155" i="7"/>
  <c r="Q155" i="7"/>
  <c r="O155" i="7"/>
  <c r="M155" i="7"/>
  <c r="K155" i="7"/>
  <c r="I155" i="7"/>
  <c r="G155" i="7"/>
  <c r="W147" i="7"/>
  <c r="S147" i="7"/>
  <c r="Q147" i="7"/>
  <c r="O147" i="7"/>
  <c r="M147" i="7"/>
  <c r="K147" i="7"/>
  <c r="I147" i="7"/>
  <c r="G147" i="7"/>
  <c r="W139" i="7"/>
  <c r="S139" i="7"/>
  <c r="Q139" i="7"/>
  <c r="O139" i="7"/>
  <c r="M139" i="7"/>
  <c r="K139" i="7"/>
  <c r="I139" i="7"/>
  <c r="G139" i="7"/>
  <c r="W131" i="7"/>
  <c r="S131" i="7"/>
  <c r="Q131" i="7"/>
  <c r="O131" i="7"/>
  <c r="M131" i="7"/>
  <c r="K131" i="7"/>
  <c r="I131" i="7"/>
  <c r="G131" i="7"/>
  <c r="W123" i="7"/>
  <c r="S123" i="7"/>
  <c r="Q123" i="7"/>
  <c r="O123" i="7"/>
  <c r="M123" i="7"/>
  <c r="K123" i="7"/>
  <c r="I123" i="7"/>
  <c r="G123" i="7"/>
  <c r="W115" i="7"/>
  <c r="S115" i="7"/>
  <c r="Q115" i="7"/>
  <c r="O115" i="7"/>
  <c r="M115" i="7"/>
  <c r="K115" i="7"/>
  <c r="I115" i="7"/>
  <c r="G115" i="7"/>
  <c r="W107" i="7"/>
  <c r="S107" i="7"/>
  <c r="Q107" i="7"/>
  <c r="O107" i="7"/>
  <c r="M107" i="7"/>
  <c r="K107" i="7"/>
  <c r="I107" i="7"/>
  <c r="G107" i="7"/>
  <c r="W99" i="7"/>
  <c r="S99" i="7"/>
  <c r="Q99" i="7"/>
  <c r="O99" i="7"/>
  <c r="M99" i="7"/>
  <c r="K99" i="7"/>
  <c r="W90" i="7"/>
  <c r="S90" i="7"/>
  <c r="Q90" i="7"/>
  <c r="O90" i="7"/>
  <c r="M90" i="7"/>
  <c r="K90" i="7"/>
  <c r="I90" i="7"/>
  <c r="G90" i="7"/>
  <c r="W82" i="7"/>
  <c r="S82" i="7"/>
  <c r="Q82" i="7"/>
  <c r="O82" i="7"/>
  <c r="M82" i="7"/>
  <c r="K82" i="7"/>
  <c r="I82" i="7"/>
  <c r="G82" i="7"/>
  <c r="W74" i="7"/>
  <c r="S74" i="7"/>
  <c r="Q74" i="7"/>
  <c r="O74" i="7"/>
  <c r="M74" i="7"/>
  <c r="K74" i="7"/>
  <c r="I74" i="7"/>
  <c r="G74" i="7"/>
  <c r="W66" i="7"/>
  <c r="S66" i="7"/>
  <c r="Q66" i="7"/>
  <c r="O66" i="7"/>
  <c r="M66" i="7"/>
  <c r="K66" i="7"/>
  <c r="I66" i="7"/>
  <c r="G66" i="7"/>
  <c r="W57" i="7"/>
  <c r="S57" i="7"/>
  <c r="Q57" i="7"/>
  <c r="O57" i="7"/>
  <c r="M57" i="7"/>
  <c r="K57" i="7"/>
  <c r="I57" i="7"/>
  <c r="G57" i="7"/>
  <c r="W49" i="7"/>
  <c r="S49" i="7"/>
  <c r="Q49" i="7"/>
  <c r="O49" i="7"/>
  <c r="M49" i="7"/>
  <c r="K49" i="7"/>
  <c r="I49" i="7"/>
  <c r="G49" i="7"/>
  <c r="W40" i="7"/>
  <c r="S40" i="7"/>
  <c r="Q40" i="7"/>
  <c r="O40" i="7"/>
  <c r="M40" i="7"/>
  <c r="K40" i="7"/>
  <c r="I40" i="7"/>
  <c r="G40" i="7"/>
  <c r="W30" i="7"/>
  <c r="S30" i="7"/>
  <c r="Q30" i="7"/>
  <c r="O30" i="7"/>
  <c r="M30" i="7"/>
  <c r="K30" i="7"/>
  <c r="I30" i="7"/>
  <c r="G30" i="7"/>
  <c r="Y21" i="7"/>
  <c r="W21" i="7"/>
  <c r="S21" i="7"/>
  <c r="Q21" i="7"/>
  <c r="O21" i="7"/>
  <c r="M21" i="7"/>
  <c r="K21" i="7"/>
  <c r="I21" i="7"/>
  <c r="G21" i="7"/>
  <c r="AB193" i="13"/>
  <c r="AB180" i="13"/>
  <c r="AB174" i="13"/>
  <c r="AB162" i="13"/>
  <c r="AB154" i="13"/>
  <c r="AB146" i="13"/>
  <c r="AB138" i="13"/>
  <c r="AB130" i="13"/>
  <c r="AB122" i="13"/>
  <c r="AB106" i="13"/>
  <c r="AB21" i="13"/>
  <c r="AB31" i="13"/>
  <c r="AB42" i="13"/>
  <c r="AB49" i="13"/>
  <c r="AB56" i="13"/>
  <c r="AB66" i="13"/>
  <c r="AB74" i="13"/>
  <c r="AB82" i="13"/>
  <c r="AB90" i="13"/>
  <c r="L11" i="18" l="1"/>
  <c r="K11" i="22" s="1"/>
  <c r="Y181" i="7"/>
  <c r="W181" i="7"/>
  <c r="S181" i="7"/>
  <c r="Q181" i="7"/>
  <c r="O181" i="7"/>
  <c r="M181" i="7"/>
  <c r="K181" i="7"/>
  <c r="I181" i="7"/>
  <c r="G181" i="7"/>
  <c r="AD180" i="13"/>
  <c r="X180" i="13"/>
  <c r="V180" i="13"/>
  <c r="T180" i="13"/>
  <c r="R180" i="13"/>
  <c r="P180" i="13"/>
  <c r="N180" i="13"/>
  <c r="L180" i="13"/>
  <c r="J180" i="13"/>
  <c r="H180" i="13"/>
  <c r="F180" i="13"/>
  <c r="AB205" i="13"/>
  <c r="Z205" i="13"/>
  <c r="A44" i="10"/>
  <c r="D60" i="10" l="1"/>
  <c r="D51" i="10"/>
  <c r="E60" i="10"/>
  <c r="E51" i="10"/>
  <c r="Z180" i="13"/>
  <c r="U181" i="7"/>
  <c r="G36" i="22"/>
  <c r="I7" i="22"/>
  <c r="A34" i="1"/>
  <c r="C35" i="22"/>
  <c r="AB181" i="7" l="1"/>
  <c r="C12" i="22"/>
  <c r="I12" i="22" s="1"/>
  <c r="J191" i="13" l="1"/>
  <c r="J189" i="13"/>
  <c r="J188" i="13"/>
  <c r="J186" i="13"/>
  <c r="J172" i="13"/>
  <c r="J171" i="13"/>
  <c r="J170" i="13"/>
  <c r="J169" i="13"/>
  <c r="J160" i="13"/>
  <c r="J159" i="13"/>
  <c r="J158" i="13"/>
  <c r="J152" i="13"/>
  <c r="J151" i="13"/>
  <c r="J150" i="13"/>
  <c r="J149" i="13"/>
  <c r="J144" i="13"/>
  <c r="J143" i="13"/>
  <c r="J142" i="13"/>
  <c r="J141" i="13"/>
  <c r="J136" i="13"/>
  <c r="J135" i="13"/>
  <c r="J134" i="13"/>
  <c r="J133" i="13"/>
  <c r="J128" i="13"/>
  <c r="J127" i="13"/>
  <c r="J126" i="13"/>
  <c r="J125" i="13"/>
  <c r="J120" i="13"/>
  <c r="J119" i="13"/>
  <c r="J118" i="13"/>
  <c r="J117" i="13"/>
  <c r="J112" i="13"/>
  <c r="J111" i="13"/>
  <c r="J110" i="13"/>
  <c r="J109" i="13"/>
  <c r="J104" i="13"/>
  <c r="J103" i="13"/>
  <c r="J102" i="13"/>
  <c r="J101" i="13"/>
  <c r="J96" i="13"/>
  <c r="J95" i="13"/>
  <c r="J94" i="13"/>
  <c r="J88" i="13"/>
  <c r="J87" i="13"/>
  <c r="J86" i="13"/>
  <c r="J85" i="13"/>
  <c r="J80" i="13"/>
  <c r="J79" i="13"/>
  <c r="J78" i="13"/>
  <c r="J77" i="13"/>
  <c r="J72" i="13"/>
  <c r="J71" i="13"/>
  <c r="J70" i="13"/>
  <c r="J69" i="13"/>
  <c r="J64" i="13"/>
  <c r="J62" i="13"/>
  <c r="J60" i="13"/>
  <c r="J59" i="13"/>
  <c r="J54" i="13"/>
  <c r="J53" i="13"/>
  <c r="J52" i="13"/>
  <c r="J47" i="13"/>
  <c r="J46" i="13"/>
  <c r="J45" i="13"/>
  <c r="J40" i="13"/>
  <c r="J39" i="13"/>
  <c r="J38" i="13"/>
  <c r="J37" i="13"/>
  <c r="J36" i="13"/>
  <c r="J29" i="13"/>
  <c r="J28" i="13"/>
  <c r="J27" i="13"/>
  <c r="J26" i="13"/>
  <c r="J25" i="13"/>
  <c r="J18" i="13"/>
  <c r="J19" i="13"/>
  <c r="J17" i="13"/>
  <c r="J16" i="13"/>
  <c r="AD87" i="13" l="1"/>
  <c r="AD54" i="13"/>
  <c r="AD72" i="13"/>
  <c r="AD88" i="13"/>
  <c r="AD109" i="13"/>
  <c r="AD125" i="13"/>
  <c r="AD141" i="13"/>
  <c r="AD186" i="13"/>
  <c r="AD53" i="13"/>
  <c r="AD152" i="13"/>
  <c r="AD59" i="13"/>
  <c r="AD142" i="13"/>
  <c r="AD78" i="13"/>
  <c r="AD127" i="13"/>
  <c r="AD143" i="13"/>
  <c r="AD159" i="13"/>
  <c r="AD188" i="13"/>
  <c r="AD136" i="13"/>
  <c r="AD126" i="13"/>
  <c r="AD62" i="13"/>
  <c r="AD112" i="13"/>
  <c r="AD128" i="13"/>
  <c r="AD144" i="13"/>
  <c r="AD160" i="13"/>
  <c r="AD189" i="13"/>
  <c r="AD19" i="13"/>
  <c r="AD120" i="13"/>
  <c r="AD95" i="13"/>
  <c r="AD64" i="13"/>
  <c r="AD80" i="13"/>
  <c r="AD101" i="13"/>
  <c r="AD117" i="13"/>
  <c r="AD133" i="13"/>
  <c r="AD149" i="13"/>
  <c r="AD169" i="13"/>
  <c r="AD71" i="13"/>
  <c r="AD172" i="13"/>
  <c r="AD94" i="13"/>
  <c r="AD158" i="13"/>
  <c r="AD60" i="13"/>
  <c r="AD96" i="13"/>
  <c r="AD85" i="13"/>
  <c r="AD118" i="13"/>
  <c r="AD134" i="13"/>
  <c r="AD150" i="13"/>
  <c r="AD170" i="13"/>
  <c r="AD104" i="13"/>
  <c r="AD77" i="13"/>
  <c r="AD110" i="13"/>
  <c r="AD111" i="13"/>
  <c r="AD79" i="13"/>
  <c r="AD69" i="13"/>
  <c r="AD102" i="13"/>
  <c r="AD70" i="13"/>
  <c r="AD86" i="13"/>
  <c r="AD103" i="13"/>
  <c r="AD119" i="13"/>
  <c r="AD135" i="13"/>
  <c r="AD151" i="13"/>
  <c r="AD171" i="13"/>
  <c r="AD52" i="13"/>
  <c r="AD56" i="13" s="1"/>
  <c r="AD46" i="13"/>
  <c r="AD45" i="13"/>
  <c r="AD47" i="13"/>
  <c r="AD37" i="13"/>
  <c r="AD39" i="13"/>
  <c r="AD40" i="13"/>
  <c r="AD38" i="13"/>
  <c r="AD36" i="13"/>
  <c r="AD25" i="13"/>
  <c r="AD27" i="13"/>
  <c r="AD28" i="13"/>
  <c r="AD26" i="13"/>
  <c r="AD29" i="13"/>
  <c r="AD18" i="13"/>
  <c r="AD17" i="13"/>
  <c r="I18" i="22"/>
  <c r="W166" i="7"/>
  <c r="W194" i="7" s="1"/>
  <c r="AB165" i="13"/>
  <c r="AD82" i="13" l="1"/>
  <c r="AD90" i="13"/>
  <c r="AD66" i="13"/>
  <c r="AD74" i="13"/>
  <c r="AD162" i="13"/>
  <c r="AD154" i="13"/>
  <c r="AD146" i="13"/>
  <c r="AD106" i="13"/>
  <c r="AD138" i="13"/>
  <c r="AD130" i="13"/>
  <c r="AD174" i="13"/>
  <c r="AD98" i="13"/>
  <c r="AD122" i="13"/>
  <c r="AD114" i="13"/>
  <c r="AD49" i="13"/>
  <c r="AD42" i="13"/>
  <c r="AD31" i="13"/>
  <c r="Y96" i="7"/>
  <c r="AB96" i="7" s="1"/>
  <c r="Y94" i="7"/>
  <c r="AB94" i="7" s="1"/>
  <c r="Y95" i="7"/>
  <c r="AB95" i="7" s="1"/>
  <c r="AB182" i="13"/>
  <c r="AB195" i="13" s="1"/>
  <c r="E59" i="10" l="1"/>
  <c r="E50" i="10"/>
  <c r="E55" i="10" s="1"/>
  <c r="A2" i="21" l="1"/>
  <c r="B6" i="19" l="1"/>
  <c r="E24" i="14" l="1"/>
  <c r="E23" i="14"/>
  <c r="AB60" i="7" l="1"/>
  <c r="Y46" i="7" l="1"/>
  <c r="AB46" i="7" s="1"/>
  <c r="N41" i="9"/>
  <c r="S41" i="9" s="1"/>
  <c r="N40" i="9"/>
  <c r="S40" i="9" s="1"/>
  <c r="N39" i="9"/>
  <c r="S39" i="9" s="1"/>
  <c r="N38" i="9"/>
  <c r="S38" i="9" s="1"/>
  <c r="N41" i="8"/>
  <c r="R41" i="8" s="1"/>
  <c r="N40" i="8"/>
  <c r="R40" i="8" s="1"/>
  <c r="N39" i="8"/>
  <c r="R39" i="8" s="1"/>
  <c r="N38" i="8"/>
  <c r="R38" i="8" s="1"/>
  <c r="E21" i="17"/>
  <c r="C18" i="17"/>
  <c r="D42" i="8" s="1"/>
  <c r="N42" i="8" l="1"/>
  <c r="A2" i="20"/>
  <c r="S42" i="8" l="1"/>
  <c r="R42" i="8"/>
  <c r="Y52" i="7"/>
  <c r="AB52" i="7" s="1"/>
  <c r="Z56" i="13"/>
  <c r="X56" i="13"/>
  <c r="V56" i="13"/>
  <c r="T56" i="13"/>
  <c r="R56" i="13"/>
  <c r="P56" i="13"/>
  <c r="N56" i="13"/>
  <c r="L56" i="13"/>
  <c r="J56" i="13"/>
  <c r="H56" i="13"/>
  <c r="F56" i="13"/>
  <c r="L15" i="18"/>
  <c r="X162" i="13"/>
  <c r="V162" i="13"/>
  <c r="T162" i="13"/>
  <c r="R162" i="13"/>
  <c r="P162" i="13"/>
  <c r="N162" i="13"/>
  <c r="L162" i="13"/>
  <c r="H162" i="13"/>
  <c r="F162" i="13"/>
  <c r="X154" i="13"/>
  <c r="V154" i="13"/>
  <c r="T154" i="13"/>
  <c r="R154" i="13"/>
  <c r="P154" i="13"/>
  <c r="N154" i="13"/>
  <c r="L154" i="13"/>
  <c r="H154" i="13"/>
  <c r="F154" i="13"/>
  <c r="D3" i="8"/>
  <c r="C28" i="22" l="1"/>
  <c r="I28" i="22" s="1"/>
  <c r="Y53" i="7"/>
  <c r="AB53" i="7" s="1"/>
  <c r="Y54" i="7"/>
  <c r="AB54" i="7" s="1"/>
  <c r="Y55" i="7"/>
  <c r="AB55" i="7" s="1"/>
  <c r="Y158" i="7"/>
  <c r="AB158" i="7" s="1"/>
  <c r="Y160" i="7"/>
  <c r="AB160" i="7" s="1"/>
  <c r="Y161" i="7"/>
  <c r="AB161" i="7" s="1"/>
  <c r="U57" i="7"/>
  <c r="U163" i="7"/>
  <c r="K16" i="22"/>
  <c r="J162" i="13"/>
  <c r="J154" i="13"/>
  <c r="Y57" i="7" l="1"/>
  <c r="AB57" i="7" s="1"/>
  <c r="Y163" i="7"/>
  <c r="AB163" i="7" s="1"/>
  <c r="Z154" i="13"/>
  <c r="Z162" i="13"/>
  <c r="F28" i="18"/>
  <c r="L28" i="18" s="1"/>
  <c r="L16" i="18"/>
  <c r="L17" i="18"/>
  <c r="L18" i="18"/>
  <c r="L19" i="18"/>
  <c r="L20" i="18"/>
  <c r="L21" i="18"/>
  <c r="L22" i="18"/>
  <c r="L23" i="18"/>
  <c r="L24" i="18"/>
  <c r="L25" i="18"/>
  <c r="L26" i="18"/>
  <c r="L27" i="18"/>
  <c r="J30" i="18"/>
  <c r="H30" i="18"/>
  <c r="D30" i="18"/>
  <c r="D34" i="18" s="1"/>
  <c r="A2" i="18"/>
  <c r="L14" i="18"/>
  <c r="L13" i="18"/>
  <c r="L9" i="18"/>
  <c r="L12" i="18"/>
  <c r="L10" i="18"/>
  <c r="K28" i="22" s="1"/>
  <c r="L8" i="18"/>
  <c r="E5" i="17"/>
  <c r="I4" i="14"/>
  <c r="E4" i="14"/>
  <c r="A3" i="10"/>
  <c r="H3" i="10" s="1"/>
  <c r="N30" i="9"/>
  <c r="N29" i="9"/>
  <c r="N25" i="9"/>
  <c r="N24" i="9"/>
  <c r="N23" i="9"/>
  <c r="N19" i="9"/>
  <c r="N18" i="9"/>
  <c r="N14" i="9"/>
  <c r="N13" i="9"/>
  <c r="N11" i="9"/>
  <c r="A2" i="9"/>
  <c r="N4" i="9" s="1"/>
  <c r="A2" i="8"/>
  <c r="N4" i="8" s="1"/>
  <c r="B2" i="7"/>
  <c r="U6" i="7" s="1"/>
  <c r="B2" i="13"/>
  <c r="F5" i="13" s="1"/>
  <c r="J6" i="13" s="1"/>
  <c r="C34" i="17"/>
  <c r="D42" i="9" s="1"/>
  <c r="N49" i="9"/>
  <c r="N48" i="9"/>
  <c r="S48" i="9" s="1"/>
  <c r="N47" i="9"/>
  <c r="S47" i="9" s="1"/>
  <c r="N46" i="9"/>
  <c r="S46" i="9" s="1"/>
  <c r="N45" i="9"/>
  <c r="S45" i="9" s="1"/>
  <c r="N44" i="9"/>
  <c r="S44" i="9" s="1"/>
  <c r="N43" i="9"/>
  <c r="S43" i="9" s="1"/>
  <c r="N49" i="8"/>
  <c r="R49" i="8" s="1"/>
  <c r="N48" i="8"/>
  <c r="R48" i="8" s="1"/>
  <c r="N47" i="8"/>
  <c r="R47" i="8" s="1"/>
  <c r="N46" i="8"/>
  <c r="R46" i="8" s="1"/>
  <c r="N45" i="8"/>
  <c r="R45" i="8" s="1"/>
  <c r="N44" i="8"/>
  <c r="R44" i="8" s="1"/>
  <c r="N43" i="8"/>
  <c r="R43" i="8" s="1"/>
  <c r="I26" i="14"/>
  <c r="D65" i="9" s="1"/>
  <c r="G26" i="14"/>
  <c r="D65" i="8" s="1"/>
  <c r="E26" i="14"/>
  <c r="C26" i="14"/>
  <c r="J34" i="8"/>
  <c r="J34" i="9"/>
  <c r="Y97" i="7"/>
  <c r="N193" i="13"/>
  <c r="L49" i="13"/>
  <c r="X42" i="13"/>
  <c r="V42" i="13"/>
  <c r="T42" i="13"/>
  <c r="R42" i="13"/>
  <c r="P42" i="13"/>
  <c r="N42" i="13"/>
  <c r="L42" i="13"/>
  <c r="H42" i="13"/>
  <c r="F42" i="13"/>
  <c r="F31" i="13"/>
  <c r="F49" i="13"/>
  <c r="F66" i="13"/>
  <c r="F106" i="13"/>
  <c r="F98" i="13"/>
  <c r="F90" i="13"/>
  <c r="F82" i="13"/>
  <c r="F74" i="13"/>
  <c r="F193" i="13"/>
  <c r="X66" i="13"/>
  <c r="V66" i="13"/>
  <c r="T66" i="13"/>
  <c r="R66" i="13"/>
  <c r="P66" i="13"/>
  <c r="N66" i="13"/>
  <c r="L66" i="13"/>
  <c r="H66" i="13"/>
  <c r="X49" i="13"/>
  <c r="V49" i="13"/>
  <c r="T49" i="13"/>
  <c r="R49" i="13"/>
  <c r="P49" i="13"/>
  <c r="N49" i="13"/>
  <c r="H49" i="13"/>
  <c r="D34" i="8"/>
  <c r="D63" i="8" s="1"/>
  <c r="F34" i="8"/>
  <c r="H34" i="8"/>
  <c r="H67" i="8" s="1"/>
  <c r="N10" i="8"/>
  <c r="R10" i="8" s="1"/>
  <c r="N11" i="8"/>
  <c r="X193" i="13"/>
  <c r="X174" i="13"/>
  <c r="X146" i="13"/>
  <c r="X130" i="13"/>
  <c r="X122" i="13"/>
  <c r="X114" i="13"/>
  <c r="X138" i="13"/>
  <c r="X106" i="13"/>
  <c r="X98" i="13"/>
  <c r="X90" i="13"/>
  <c r="X82" i="13"/>
  <c r="X74" i="13"/>
  <c r="X31" i="13"/>
  <c r="X21" i="13"/>
  <c r="R193" i="13"/>
  <c r="V174" i="13"/>
  <c r="T174" i="13"/>
  <c r="R174" i="13"/>
  <c r="P174" i="13"/>
  <c r="N174" i="13"/>
  <c r="V146" i="13"/>
  <c r="T146" i="13"/>
  <c r="R146" i="13"/>
  <c r="P146" i="13"/>
  <c r="N146" i="13"/>
  <c r="V130" i="13"/>
  <c r="T130" i="13"/>
  <c r="R130" i="13"/>
  <c r="P130" i="13"/>
  <c r="N130" i="13"/>
  <c r="V122" i="13"/>
  <c r="T122" i="13"/>
  <c r="R122" i="13"/>
  <c r="P122" i="13"/>
  <c r="N122" i="13"/>
  <c r="V114" i="13"/>
  <c r="T114" i="13"/>
  <c r="R114" i="13"/>
  <c r="P114" i="13"/>
  <c r="N114" i="13"/>
  <c r="V138" i="13"/>
  <c r="T138" i="13"/>
  <c r="R138" i="13"/>
  <c r="P138" i="13"/>
  <c r="N138" i="13"/>
  <c r="V106" i="13"/>
  <c r="T106" i="13"/>
  <c r="R106" i="13"/>
  <c r="P106" i="13"/>
  <c r="N106" i="13"/>
  <c r="V98" i="13"/>
  <c r="T98" i="13"/>
  <c r="R98" i="13"/>
  <c r="P98" i="13"/>
  <c r="N98" i="13"/>
  <c r="V90" i="13"/>
  <c r="T90" i="13"/>
  <c r="R90" i="13"/>
  <c r="P90" i="13"/>
  <c r="N90" i="13"/>
  <c r="V82" i="13"/>
  <c r="T82" i="13"/>
  <c r="R82" i="13"/>
  <c r="P82" i="13"/>
  <c r="N82" i="13"/>
  <c r="V74" i="13"/>
  <c r="T74" i="13"/>
  <c r="R74" i="13"/>
  <c r="P74" i="13"/>
  <c r="N74" i="13"/>
  <c r="V31" i="13"/>
  <c r="T31" i="13"/>
  <c r="R31" i="13"/>
  <c r="P31" i="13"/>
  <c r="N31" i="13"/>
  <c r="V21" i="13"/>
  <c r="T21" i="13"/>
  <c r="R21" i="13"/>
  <c r="P21" i="13"/>
  <c r="N21" i="13"/>
  <c r="F174" i="13"/>
  <c r="L193" i="13"/>
  <c r="H174" i="13"/>
  <c r="H146" i="13"/>
  <c r="F146" i="13"/>
  <c r="H130" i="13"/>
  <c r="F130" i="13"/>
  <c r="H122" i="13"/>
  <c r="F122" i="13"/>
  <c r="H114" i="13"/>
  <c r="F114" i="13"/>
  <c r="H138" i="13"/>
  <c r="F138" i="13"/>
  <c r="H106" i="13"/>
  <c r="H98" i="13"/>
  <c r="H90" i="13"/>
  <c r="H82" i="13"/>
  <c r="H74" i="13"/>
  <c r="H31" i="13"/>
  <c r="H21" i="13"/>
  <c r="F21" i="13"/>
  <c r="L21" i="13"/>
  <c r="L31" i="13"/>
  <c r="L74" i="13"/>
  <c r="L82" i="13"/>
  <c r="L90" i="13"/>
  <c r="L98" i="13"/>
  <c r="L106" i="13"/>
  <c r="L138" i="13"/>
  <c r="L114" i="13"/>
  <c r="L122" i="13"/>
  <c r="L130" i="13"/>
  <c r="L146" i="13"/>
  <c r="L174" i="13"/>
  <c r="Y35" i="7"/>
  <c r="AB35" i="7" s="1"/>
  <c r="Y134" i="7"/>
  <c r="AB134" i="7" s="1"/>
  <c r="Y110" i="7"/>
  <c r="AB110" i="7" s="1"/>
  <c r="N12" i="8"/>
  <c r="N14" i="8"/>
  <c r="N18" i="8"/>
  <c r="R18" i="8" s="1"/>
  <c r="N19" i="8"/>
  <c r="N23" i="8"/>
  <c r="R23" i="8" s="1"/>
  <c r="N24" i="8"/>
  <c r="N25" i="8"/>
  <c r="N29" i="8"/>
  <c r="R29" i="8" s="1"/>
  <c r="N30" i="8"/>
  <c r="N36" i="8"/>
  <c r="N50" i="8"/>
  <c r="R50" i="8" s="1"/>
  <c r="N51" i="8"/>
  <c r="R51" i="8" s="1"/>
  <c r="N52" i="8"/>
  <c r="R52" i="8" s="1"/>
  <c r="N53" i="8"/>
  <c r="R53" i="8" s="1"/>
  <c r="N54" i="8"/>
  <c r="R54" i="8" s="1"/>
  <c r="N55" i="8"/>
  <c r="R55" i="8" s="1"/>
  <c r="N56" i="8"/>
  <c r="R56" i="8" s="1"/>
  <c r="N57" i="8"/>
  <c r="R57" i="8" s="1"/>
  <c r="N58" i="8"/>
  <c r="R58" i="8" s="1"/>
  <c r="N59" i="8"/>
  <c r="R59" i="8" s="1"/>
  <c r="N60" i="8"/>
  <c r="R60" i="8" s="1"/>
  <c r="N61" i="8"/>
  <c r="R61" i="8" s="1"/>
  <c r="N36" i="9"/>
  <c r="S36" i="9" s="1"/>
  <c r="N50" i="9"/>
  <c r="S50" i="9" s="1"/>
  <c r="N51" i="9"/>
  <c r="S51" i="9" s="1"/>
  <c r="N52" i="9"/>
  <c r="S52" i="9" s="1"/>
  <c r="N53" i="9"/>
  <c r="S53" i="9" s="1"/>
  <c r="N54" i="9"/>
  <c r="S54" i="9" s="1"/>
  <c r="N55" i="9"/>
  <c r="S55" i="9" s="1"/>
  <c r="N56" i="9"/>
  <c r="S56" i="9" s="1"/>
  <c r="N57" i="9"/>
  <c r="S57" i="9" s="1"/>
  <c r="N58" i="9"/>
  <c r="S58" i="9" s="1"/>
  <c r="N59" i="9"/>
  <c r="S59" i="9" s="1"/>
  <c r="N60" i="9"/>
  <c r="S60" i="9" s="1"/>
  <c r="N61" i="9"/>
  <c r="S61" i="9" s="1"/>
  <c r="D16" i="10"/>
  <c r="D34" i="9"/>
  <c r="F34" i="9"/>
  <c r="F63" i="9" s="1"/>
  <c r="F67" i="9" s="1"/>
  <c r="O186" i="7" s="1"/>
  <c r="O192" i="7" s="1"/>
  <c r="H34" i="9"/>
  <c r="H63" i="9" s="1"/>
  <c r="H67" i="9" s="1"/>
  <c r="Q186" i="7" s="1"/>
  <c r="Q192" i="7" s="1"/>
  <c r="L34" i="9"/>
  <c r="L63" i="9" s="1"/>
  <c r="L67" i="9" s="1"/>
  <c r="L34" i="8"/>
  <c r="L63" i="8" s="1"/>
  <c r="L67" i="8" s="1"/>
  <c r="S49" i="9" l="1"/>
  <c r="P49" i="9"/>
  <c r="N65" i="9"/>
  <c r="S65" i="9"/>
  <c r="D67" i="8"/>
  <c r="P24" i="8"/>
  <c r="R24" i="8"/>
  <c r="P30" i="8"/>
  <c r="R30" i="8"/>
  <c r="F63" i="8"/>
  <c r="F67" i="8" s="1"/>
  <c r="T187" i="13" s="1"/>
  <c r="T193" i="13" s="1"/>
  <c r="N65" i="8"/>
  <c r="R65" i="8" s="1"/>
  <c r="P19" i="8"/>
  <c r="R19" i="8"/>
  <c r="P12" i="8"/>
  <c r="R12" i="8"/>
  <c r="P11" i="8"/>
  <c r="R11" i="8"/>
  <c r="J63" i="8"/>
  <c r="J67" i="8" s="1"/>
  <c r="Z187" i="13"/>
  <c r="AD187" i="13" s="1"/>
  <c r="P25" i="8"/>
  <c r="R25" i="8"/>
  <c r="R36" i="8"/>
  <c r="E61" i="10"/>
  <c r="E64" i="10" s="1"/>
  <c r="E66" i="10" s="1"/>
  <c r="P14" i="8"/>
  <c r="R14" i="8"/>
  <c r="C26" i="22"/>
  <c r="I26" i="22" s="1"/>
  <c r="C25" i="22"/>
  <c r="I25" i="22" s="1"/>
  <c r="Y99" i="7"/>
  <c r="AB97" i="7"/>
  <c r="V187" i="13"/>
  <c r="V193" i="13" s="1"/>
  <c r="D62" i="10"/>
  <c r="P23" i="9"/>
  <c r="S23" i="9"/>
  <c r="P24" i="9"/>
  <c r="S24" i="9"/>
  <c r="J63" i="9"/>
  <c r="P25" i="9"/>
  <c r="S25" i="9"/>
  <c r="P11" i="9"/>
  <c r="S11" i="9"/>
  <c r="P29" i="9"/>
  <c r="S29" i="9"/>
  <c r="P13" i="9"/>
  <c r="S13" i="9"/>
  <c r="P30" i="9"/>
  <c r="S30" i="9"/>
  <c r="P14" i="9"/>
  <c r="S14" i="9"/>
  <c r="P19" i="9"/>
  <c r="S19" i="9"/>
  <c r="P18" i="9"/>
  <c r="S18" i="9"/>
  <c r="Y102" i="7"/>
  <c r="AB102" i="7" s="1"/>
  <c r="Y113" i="7"/>
  <c r="AB113" i="7" s="1"/>
  <c r="Y127" i="7"/>
  <c r="AB127" i="7" s="1"/>
  <c r="Y152" i="7"/>
  <c r="AB152" i="7" s="1"/>
  <c r="Y103" i="7"/>
  <c r="AB103" i="7" s="1"/>
  <c r="Y28" i="7"/>
  <c r="AB28" i="7" s="1"/>
  <c r="Y150" i="7"/>
  <c r="AB150" i="7" s="1"/>
  <c r="Y72" i="7"/>
  <c r="AB72" i="7" s="1"/>
  <c r="Y112" i="7"/>
  <c r="AB112" i="7" s="1"/>
  <c r="Y137" i="7"/>
  <c r="AB137" i="7" s="1"/>
  <c r="Y151" i="7"/>
  <c r="AB151" i="7" s="1"/>
  <c r="Y45" i="7"/>
  <c r="AB45" i="7" s="1"/>
  <c r="Y153" i="7"/>
  <c r="AB153" i="7" s="1"/>
  <c r="Y142" i="7"/>
  <c r="AB142" i="7" s="1"/>
  <c r="Y69" i="7"/>
  <c r="AB69" i="7" s="1"/>
  <c r="Y61" i="7"/>
  <c r="AB61" i="7" s="1"/>
  <c r="Y111" i="7"/>
  <c r="AB111" i="7" s="1"/>
  <c r="Y136" i="7"/>
  <c r="AB136" i="7" s="1"/>
  <c r="Y86" i="7"/>
  <c r="AB86" i="7" s="1"/>
  <c r="Y63" i="7"/>
  <c r="AB63" i="7" s="1"/>
  <c r="Y88" i="7"/>
  <c r="AB88" i="7" s="1"/>
  <c r="Y121" i="7"/>
  <c r="AB121" i="7" s="1"/>
  <c r="Y135" i="7"/>
  <c r="AB135" i="7" s="1"/>
  <c r="Y80" i="7"/>
  <c r="AB80" i="7" s="1"/>
  <c r="Y36" i="7"/>
  <c r="AB36" i="7" s="1"/>
  <c r="Y172" i="7"/>
  <c r="AB172" i="7" s="1"/>
  <c r="Y126" i="7"/>
  <c r="AB126" i="7" s="1"/>
  <c r="Y87" i="7"/>
  <c r="AB87" i="7" s="1"/>
  <c r="Y27" i="7"/>
  <c r="AB27" i="7" s="1"/>
  <c r="Y120" i="7"/>
  <c r="AB120" i="7" s="1"/>
  <c r="Y145" i="7"/>
  <c r="AB145" i="7" s="1"/>
  <c r="Y79" i="7"/>
  <c r="AB79" i="7" s="1"/>
  <c r="Y25" i="7"/>
  <c r="AB25" i="7" s="1"/>
  <c r="Y118" i="7"/>
  <c r="AB118" i="7" s="1"/>
  <c r="Y70" i="7"/>
  <c r="AB70" i="7" s="1"/>
  <c r="Y171" i="7"/>
  <c r="AB171" i="7" s="1"/>
  <c r="Y105" i="7"/>
  <c r="AB105" i="7" s="1"/>
  <c r="Y85" i="7"/>
  <c r="AB85" i="7" s="1"/>
  <c r="Y26" i="7"/>
  <c r="AB26" i="7" s="1"/>
  <c r="Y119" i="7"/>
  <c r="AB119" i="7" s="1"/>
  <c r="Y144" i="7"/>
  <c r="AB144" i="7" s="1"/>
  <c r="Y78" i="7"/>
  <c r="AB78" i="7" s="1"/>
  <c r="Y44" i="7"/>
  <c r="AB44" i="7" s="1"/>
  <c r="Y37" i="7"/>
  <c r="AB37" i="7" s="1"/>
  <c r="Y169" i="7"/>
  <c r="AB169" i="7" s="1"/>
  <c r="Y128" i="7"/>
  <c r="AB128" i="7" s="1"/>
  <c r="Y170" i="7"/>
  <c r="AB170" i="7" s="1"/>
  <c r="Y104" i="7"/>
  <c r="AB104" i="7" s="1"/>
  <c r="Y77" i="7"/>
  <c r="AB77" i="7" s="1"/>
  <c r="Y129" i="7"/>
  <c r="AB129" i="7" s="1"/>
  <c r="Y143" i="7"/>
  <c r="AB143" i="7" s="1"/>
  <c r="Y71" i="7"/>
  <c r="AB71" i="7" s="1"/>
  <c r="Y47" i="7"/>
  <c r="AB47" i="7" s="1"/>
  <c r="Y38" i="7"/>
  <c r="AB38" i="7" s="1"/>
  <c r="N42" i="9"/>
  <c r="D63" i="9"/>
  <c r="E186" i="7" s="1"/>
  <c r="E192" i="7" s="1"/>
  <c r="U139" i="7"/>
  <c r="U40" i="7"/>
  <c r="U99" i="7"/>
  <c r="U115" i="7"/>
  <c r="U90" i="7"/>
  <c r="U82" i="7"/>
  <c r="U21" i="7"/>
  <c r="U30" i="7"/>
  <c r="U107" i="7"/>
  <c r="U49" i="7"/>
  <c r="U123" i="7"/>
  <c r="U155" i="7"/>
  <c r="U174" i="7"/>
  <c r="U74" i="7"/>
  <c r="U66" i="7"/>
  <c r="U147" i="7"/>
  <c r="U131" i="7"/>
  <c r="K27" i="22"/>
  <c r="K26" i="22"/>
  <c r="K18" i="22"/>
  <c r="K19" i="22"/>
  <c r="K9" i="22"/>
  <c r="K25" i="22"/>
  <c r="K17" i="22"/>
  <c r="K24" i="22"/>
  <c r="K13" i="22"/>
  <c r="K23" i="22"/>
  <c r="K10" i="22"/>
  <c r="K22" i="22"/>
  <c r="K14" i="22"/>
  <c r="K21" i="22"/>
  <c r="K15" i="22"/>
  <c r="K20" i="22"/>
  <c r="S166" i="7"/>
  <c r="S194" i="7" s="1"/>
  <c r="P10" i="9"/>
  <c r="N21" i="9"/>
  <c r="E166" i="7"/>
  <c r="N27" i="9"/>
  <c r="M166" i="7"/>
  <c r="M194" i="7" s="1"/>
  <c r="K166" i="7"/>
  <c r="G166" i="7"/>
  <c r="G194" i="7" s="1"/>
  <c r="I166" i="7"/>
  <c r="I194" i="7" s="1"/>
  <c r="O166" i="7"/>
  <c r="O194" i="7" s="1"/>
  <c r="Q166" i="7"/>
  <c r="Q194" i="7" s="1"/>
  <c r="N16" i="9"/>
  <c r="N32" i="9"/>
  <c r="P18" i="8"/>
  <c r="N21" i="8"/>
  <c r="P23" i="8"/>
  <c r="N27" i="8"/>
  <c r="P29" i="8"/>
  <c r="N32" i="8"/>
  <c r="N16" i="8"/>
  <c r="F165" i="13"/>
  <c r="F182" i="13" s="1"/>
  <c r="T165" i="13"/>
  <c r="R165" i="13"/>
  <c r="L165" i="13"/>
  <c r="L182" i="13" s="1"/>
  <c r="H165" i="13"/>
  <c r="H182" i="13" s="1"/>
  <c r="N165" i="13"/>
  <c r="N182" i="13" s="1"/>
  <c r="P165" i="13"/>
  <c r="P182" i="13" s="1"/>
  <c r="V165" i="13"/>
  <c r="V182" i="13" s="1"/>
  <c r="X165" i="13"/>
  <c r="X182" i="13" s="1"/>
  <c r="E7" i="7"/>
  <c r="Z6" i="13"/>
  <c r="J21" i="13"/>
  <c r="F30" i="18"/>
  <c r="L33" i="18" s="1"/>
  <c r="L30" i="18"/>
  <c r="D3" i="9"/>
  <c r="J174" i="13"/>
  <c r="J114" i="13"/>
  <c r="J49" i="13"/>
  <c r="Z146" i="13"/>
  <c r="J106" i="13"/>
  <c r="J130" i="13"/>
  <c r="Z106" i="13"/>
  <c r="J82" i="13"/>
  <c r="J122" i="13"/>
  <c r="J90" i="13"/>
  <c r="J42" i="13"/>
  <c r="J146" i="13"/>
  <c r="J31" i="13"/>
  <c r="J138" i="13"/>
  <c r="Z130" i="13"/>
  <c r="P10" i="8"/>
  <c r="J66" i="13"/>
  <c r="Z114" i="13"/>
  <c r="J74" i="13"/>
  <c r="J98" i="13"/>
  <c r="Z174" i="13"/>
  <c r="Z49" i="13"/>
  <c r="AB21" i="7" l="1"/>
  <c r="Y186" i="7"/>
  <c r="Y192" i="7" s="1"/>
  <c r="S42" i="9"/>
  <c r="T42" i="9"/>
  <c r="C22" i="22"/>
  <c r="I22" i="22" s="1"/>
  <c r="C19" i="22"/>
  <c r="I19" i="22" s="1"/>
  <c r="C20" i="22"/>
  <c r="I20" i="22" s="1"/>
  <c r="C27" i="22"/>
  <c r="I27" i="22" s="1"/>
  <c r="C24" i="22"/>
  <c r="I24" i="22" s="1"/>
  <c r="C10" i="22"/>
  <c r="I10" i="22" s="1"/>
  <c r="AB99" i="7"/>
  <c r="J67" i="9"/>
  <c r="Y30" i="7"/>
  <c r="AB30" i="7" s="1"/>
  <c r="Y115" i="7"/>
  <c r="AB115" i="7" s="1"/>
  <c r="Y40" i="7"/>
  <c r="AB40" i="7" s="1"/>
  <c r="Y90" i="7"/>
  <c r="AB90" i="7" s="1"/>
  <c r="Y123" i="7"/>
  <c r="AB123" i="7" s="1"/>
  <c r="Y174" i="7"/>
  <c r="AB174" i="7" s="1"/>
  <c r="Y139" i="7"/>
  <c r="AB139" i="7" s="1"/>
  <c r="Y131" i="7"/>
  <c r="AB131" i="7" s="1"/>
  <c r="Y82" i="7"/>
  <c r="AB82" i="7" s="1"/>
  <c r="Y66" i="7"/>
  <c r="AB66" i="7" s="1"/>
  <c r="Y74" i="7"/>
  <c r="AB74" i="7" s="1"/>
  <c r="Y107" i="7"/>
  <c r="AB107" i="7" s="1"/>
  <c r="Y49" i="7"/>
  <c r="AB49" i="7" s="1"/>
  <c r="Y147" i="7"/>
  <c r="AB147" i="7" s="1"/>
  <c r="Y155" i="7"/>
  <c r="AB155" i="7" s="1"/>
  <c r="D67" i="9"/>
  <c r="Z122" i="13"/>
  <c r="Z31" i="13"/>
  <c r="Z82" i="13"/>
  <c r="Z74" i="13"/>
  <c r="Z66" i="13"/>
  <c r="Z42" i="13"/>
  <c r="Z138" i="13"/>
  <c r="Z90" i="13"/>
  <c r="E194" i="7"/>
  <c r="K31" i="22"/>
  <c r="K32" i="22" s="1"/>
  <c r="R182" i="13"/>
  <c r="R195" i="13" s="1"/>
  <c r="D26" i="10" s="1"/>
  <c r="F195" i="13"/>
  <c r="F198" i="13" s="1"/>
  <c r="T182" i="13"/>
  <c r="T195" i="13" s="1"/>
  <c r="D27" i="10" s="1"/>
  <c r="N34" i="9"/>
  <c r="U166" i="7"/>
  <c r="L195" i="13"/>
  <c r="D24" i="10" s="1"/>
  <c r="X195" i="13"/>
  <c r="D29" i="10" s="1"/>
  <c r="N195" i="13"/>
  <c r="D25" i="10" s="1"/>
  <c r="V195" i="13"/>
  <c r="D28" i="10" s="1"/>
  <c r="J185" i="13"/>
  <c r="J165" i="13"/>
  <c r="K13" i="10" s="1"/>
  <c r="K15" i="10" s="1"/>
  <c r="N34" i="8"/>
  <c r="N63" i="8" s="1"/>
  <c r="P187" i="13" l="1"/>
  <c r="N67" i="8"/>
  <c r="C17" i="22"/>
  <c r="I17" i="22" s="1"/>
  <c r="C21" i="22"/>
  <c r="I21" i="22" s="1"/>
  <c r="C23" i="22"/>
  <c r="I23" i="22" s="1"/>
  <c r="C14" i="22"/>
  <c r="I14" i="22" s="1"/>
  <c r="C15" i="22"/>
  <c r="I15" i="22" s="1"/>
  <c r="C16" i="22"/>
  <c r="I16" i="22" s="1"/>
  <c r="C13" i="22"/>
  <c r="I13" i="22" s="1"/>
  <c r="C11" i="22"/>
  <c r="I11" i="22" s="1"/>
  <c r="AD185" i="13"/>
  <c r="AD193" i="13" s="1"/>
  <c r="D61" i="10"/>
  <c r="R34" i="8"/>
  <c r="N63" i="9"/>
  <c r="S63" i="9" s="1"/>
  <c r="S34" i="9"/>
  <c r="R63" i="8"/>
  <c r="Y166" i="7"/>
  <c r="J182" i="13"/>
  <c r="E197" i="7"/>
  <c r="J193" i="13"/>
  <c r="K186" i="7" l="1"/>
  <c r="AB186" i="7" s="1"/>
  <c r="N67" i="9"/>
  <c r="S67" i="9" s="1"/>
  <c r="D46" i="24"/>
  <c r="D49" i="24" s="1"/>
  <c r="D30" i="24"/>
  <c r="D33" i="24" s="1"/>
  <c r="D14" i="24"/>
  <c r="D17" i="24" s="1"/>
  <c r="N69" i="8"/>
  <c r="Y194" i="7"/>
  <c r="AB166" i="7"/>
  <c r="G35" i="22"/>
  <c r="G38" i="22" s="1"/>
  <c r="G31" i="22" s="1"/>
  <c r="R67" i="8"/>
  <c r="J195" i="13"/>
  <c r="Z193" i="13"/>
  <c r="U192" i="7"/>
  <c r="D22" i="10"/>
  <c r="P193" i="13"/>
  <c r="U194" i="7" l="1"/>
  <c r="K192" i="7"/>
  <c r="AB192" i="7" s="1"/>
  <c r="C29" i="22"/>
  <c r="I29" i="22" s="1"/>
  <c r="K46" i="22"/>
  <c r="G30" i="24"/>
  <c r="G33" i="24" s="1"/>
  <c r="G14" i="24"/>
  <c r="G17" i="24" s="1"/>
  <c r="G46" i="24"/>
  <c r="G49" i="24" s="1"/>
  <c r="K41" i="22"/>
  <c r="N69" i="9"/>
  <c r="P195" i="13"/>
  <c r="G52" i="24"/>
  <c r="G36" i="24"/>
  <c r="G20" i="24"/>
  <c r="K194" i="7" l="1"/>
  <c r="Y195" i="7" s="1"/>
  <c r="G23" i="24"/>
  <c r="G39" i="24"/>
  <c r="G55" i="24"/>
  <c r="AB194" i="7"/>
  <c r="Z21" i="13"/>
  <c r="AD16" i="13"/>
  <c r="AD21" i="13" s="1"/>
  <c r="Z165" i="13" l="1"/>
  <c r="C9" i="22"/>
  <c r="I9" i="22" s="1"/>
  <c r="I31" i="22" s="1"/>
  <c r="AD165" i="13"/>
  <c r="AD182" i="13" s="1"/>
  <c r="AD195" i="13" s="1"/>
  <c r="Z182" i="13" l="1"/>
  <c r="C31" i="22"/>
  <c r="E18" i="22" s="1"/>
  <c r="G18" i="22" s="1"/>
  <c r="Z195" i="13" l="1"/>
  <c r="D50" i="10" s="1"/>
  <c r="D55" i="10" s="1"/>
  <c r="E25" i="22"/>
  <c r="G25" i="22" s="1"/>
  <c r="M25" i="22" s="1"/>
  <c r="E26" i="22"/>
  <c r="G26" i="22" s="1"/>
  <c r="O26" i="22" s="1"/>
  <c r="Q26" i="22" s="1"/>
  <c r="E20" i="22"/>
  <c r="G20" i="22" s="1"/>
  <c r="O20" i="22" s="1"/>
  <c r="Q20" i="22" s="1"/>
  <c r="E15" i="22"/>
  <c r="G15" i="22" s="1"/>
  <c r="M15" i="22" s="1"/>
  <c r="E27" i="22"/>
  <c r="G27" i="22" s="1"/>
  <c r="O27" i="22" s="1"/>
  <c r="Q27" i="22" s="1"/>
  <c r="E14" i="22"/>
  <c r="G14" i="22" s="1"/>
  <c r="M14" i="22" s="1"/>
  <c r="E12" i="22"/>
  <c r="G12" i="22" s="1"/>
  <c r="M12" i="22" s="1"/>
  <c r="E9" i="22"/>
  <c r="G9" i="22" s="1"/>
  <c r="E23" i="22"/>
  <c r="G23" i="22" s="1"/>
  <c r="M23" i="22" s="1"/>
  <c r="E10" i="22"/>
  <c r="G10" i="22" s="1"/>
  <c r="O10" i="22" s="1"/>
  <c r="Q10" i="22" s="1"/>
  <c r="E29" i="22"/>
  <c r="G29" i="22" s="1"/>
  <c r="E11" i="22"/>
  <c r="G11" i="22" s="1"/>
  <c r="O11" i="22" s="1"/>
  <c r="Q11" i="22" s="1"/>
  <c r="E17" i="22"/>
  <c r="G17" i="22" s="1"/>
  <c r="M17" i="22" s="1"/>
  <c r="E28" i="22"/>
  <c r="G28" i="22" s="1"/>
  <c r="E21" i="22"/>
  <c r="G21" i="22" s="1"/>
  <c r="M21" i="22" s="1"/>
  <c r="E16" i="22"/>
  <c r="G16" i="22" s="1"/>
  <c r="M16" i="22" s="1"/>
  <c r="E24" i="22"/>
  <c r="G24" i="22" s="1"/>
  <c r="M24" i="22" s="1"/>
  <c r="E19" i="22"/>
  <c r="G19" i="22" s="1"/>
  <c r="M19" i="22" s="1"/>
  <c r="E22" i="22"/>
  <c r="G22" i="22" s="1"/>
  <c r="M22" i="22" s="1"/>
  <c r="E13" i="22"/>
  <c r="G13" i="22" s="1"/>
  <c r="M13" i="22" s="1"/>
  <c r="O24" i="22"/>
  <c r="Q24" i="22" s="1"/>
  <c r="O18" i="22"/>
  <c r="Q18" i="22" s="1"/>
  <c r="M18" i="22"/>
  <c r="D36" i="24"/>
  <c r="D39" i="24" s="1"/>
  <c r="D59" i="10" l="1"/>
  <c r="D64" i="10" s="1"/>
  <c r="D66" i="10" s="1"/>
  <c r="D52" i="24"/>
  <c r="D55" i="24" s="1"/>
  <c r="C32" i="22"/>
  <c r="AD196" i="13"/>
  <c r="D20" i="24"/>
  <c r="D23" i="24" s="1"/>
  <c r="D21" i="10"/>
  <c r="D32" i="10" s="1"/>
  <c r="D34" i="10" s="1"/>
  <c r="O23" i="22"/>
  <c r="Q23" i="22" s="1"/>
  <c r="O25" i="22"/>
  <c r="Q25" i="22" s="1"/>
  <c r="M20" i="22"/>
  <c r="O15" i="22"/>
  <c r="Q15" i="22" s="1"/>
  <c r="M26" i="22"/>
  <c r="M27" i="22"/>
  <c r="O13" i="22"/>
  <c r="Q13" i="22" s="1"/>
  <c r="O19" i="22"/>
  <c r="Q19" i="22" s="1"/>
  <c r="O22" i="22"/>
  <c r="Q22" i="22" s="1"/>
  <c r="M10" i="22"/>
  <c r="M11" i="22"/>
  <c r="O21" i="22"/>
  <c r="Q21" i="22" s="1"/>
  <c r="O12" i="22"/>
  <c r="Q12" i="22" s="1"/>
  <c r="O17" i="22"/>
  <c r="Q17" i="22" s="1"/>
  <c r="O16" i="22"/>
  <c r="Q16" i="22" s="1"/>
  <c r="O14" i="22"/>
  <c r="Q14" i="22" s="1"/>
  <c r="E31" i="22"/>
  <c r="M9" i="22"/>
  <c r="O9" i="22"/>
  <c r="M31" i="22" l="1"/>
  <c r="O31" i="22"/>
  <c r="Q9" i="22"/>
  <c r="Q31" i="22" s="1"/>
  <c r="K42" i="22" l="1"/>
  <c r="K44" i="22" s="1"/>
  <c r="K48" i="22" s="1"/>
</calcChain>
</file>

<file path=xl/sharedStrings.xml><?xml version="1.0" encoding="utf-8"?>
<sst xmlns="http://schemas.openxmlformats.org/spreadsheetml/2006/main" count="897" uniqueCount="550">
  <si>
    <t>Indirect</t>
  </si>
  <si>
    <t>Actual</t>
  </si>
  <si>
    <t>% of</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</si>
  <si>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</si>
  <si>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</si>
  <si>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</si>
  <si>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</si>
  <si>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</si>
  <si>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</si>
  <si>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</si>
  <si>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</si>
  <si>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</si>
  <si>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</si>
  <si>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</si>
  <si>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</si>
  <si>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</si>
  <si>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</si>
  <si>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</si>
  <si>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</si>
  <si>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</si>
  <si>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</si>
  <si>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</si>
  <si>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</si>
  <si>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</si>
  <si>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</si>
  <si>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</si>
  <si>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</si>
  <si>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</si>
  <si>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</si>
  <si>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</si>
  <si>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</si>
  <si>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</si>
  <si>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</si>
  <si>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</si>
  <si>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</si>
  <si>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</si>
  <si>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</si>
  <si>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</si>
  <si>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</si>
  <si>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</si>
  <si>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</si>
  <si>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FEDERAL PROGRAMS</t>
  </si>
  <si>
    <t>P.L. 93-638 Programs</t>
  </si>
  <si>
    <t>Department of Health and Human Services:</t>
  </si>
  <si>
    <t>Department of Agriculture:</t>
  </si>
  <si>
    <t>Department of Housing and Urban Development:</t>
  </si>
  <si>
    <t>Department of Education:</t>
  </si>
  <si>
    <t>Department of Energy:</t>
  </si>
  <si>
    <t>Environmental Protection Agency:</t>
  </si>
  <si>
    <t>Department of Justice:</t>
  </si>
  <si>
    <t>Equal Employment Opportunity Commission:</t>
  </si>
  <si>
    <t>Subtotal Federal Programs</t>
  </si>
  <si>
    <t>TRIBAL PROGRAMS</t>
  </si>
  <si>
    <t>General Fund</t>
  </si>
  <si>
    <t>Subtotal Tribal Programs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</si>
  <si>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</si>
  <si>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</si>
  <si>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</si>
  <si>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</si>
  <si>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</si>
  <si>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</si>
  <si>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</si>
  <si>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</si>
  <si>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</si>
  <si>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</si>
  <si>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</si>
  <si>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</si>
  <si>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</si>
  <si>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</si>
  <si>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</si>
  <si>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</si>
  <si>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</si>
  <si>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</si>
  <si>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Page</t>
  </si>
  <si>
    <t>Costs per Audited Financial Statements:</t>
  </si>
  <si>
    <t>Total Costs to be Accounted For</t>
  </si>
  <si>
    <t>Direct Cost Base</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</si>
  <si>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</si>
  <si>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</si>
  <si>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</si>
  <si>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</si>
  <si>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</si>
  <si>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</si>
  <si>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</si>
  <si>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</si>
  <si>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</si>
  <si>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</si>
  <si>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</si>
  <si>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</si>
  <si>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</si>
  <si>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</si>
  <si>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</si>
  <si>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</si>
  <si>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</si>
  <si>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</si>
  <si>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</si>
  <si>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</si>
  <si>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</si>
  <si>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</si>
  <si>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</si>
  <si>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</si>
  <si>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</si>
  <si>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</si>
  <si>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</si>
  <si>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</si>
  <si>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</si>
  <si>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</si>
  <si>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</si>
  <si>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</si>
  <si>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</si>
  <si>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</si>
  <si>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Reference</t>
  </si>
  <si>
    <t>in Pool</t>
  </si>
  <si>
    <t>Bad Debt</t>
  </si>
  <si>
    <t>Reconciliation is NOT required for 1st &amp; 2nd year rates unless audited costs are used.</t>
  </si>
  <si>
    <t>Collections</t>
  </si>
  <si>
    <t>Difference</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</si>
  <si>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</si>
  <si>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</si>
  <si>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</si>
  <si>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</si>
  <si>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</si>
  <si>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</si>
  <si>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</si>
  <si>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</si>
  <si>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</si>
  <si>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</si>
  <si>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</si>
  <si>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</si>
  <si>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Subtotal Salaries</t>
  </si>
  <si>
    <t xml:space="preserve">Subtotal Salaries </t>
  </si>
  <si>
    <t>Costs Per Indirect Cost Proposal (Actual):</t>
  </si>
  <si>
    <t>Indirect Cost Pool</t>
  </si>
  <si>
    <t>Department of Commerce:</t>
  </si>
  <si>
    <t>Commerce</t>
  </si>
  <si>
    <t xml:space="preserve">  Bureau of Indian Affairs-</t>
  </si>
  <si>
    <t xml:space="preserve">  Indian Health Service-</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</si>
  <si>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</si>
  <si>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</si>
  <si>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</si>
  <si>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</si>
  <si>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</si>
  <si>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</si>
  <si>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</si>
  <si>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</si>
  <si>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</si>
  <si>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</si>
  <si>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</si>
  <si>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</si>
  <si>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</si>
  <si>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</si>
  <si>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Institute of Museum and Library Services:</t>
  </si>
  <si>
    <t>IMLS</t>
  </si>
  <si>
    <t>Check Figure</t>
  </si>
  <si>
    <t>Functions</t>
  </si>
  <si>
    <t>Expense</t>
  </si>
  <si>
    <t>Statements (F/S)</t>
  </si>
  <si>
    <t>Per SEFA</t>
  </si>
  <si>
    <t>STATE AND OTHER PROGRAMS</t>
  </si>
  <si>
    <t>Subtotal Federal, State and Other Programs</t>
  </si>
  <si>
    <t>Must tie to F/S</t>
  </si>
  <si>
    <t xml:space="preserve">Funds  </t>
  </si>
  <si>
    <t xml:space="preserve">Costs </t>
  </si>
  <si>
    <t>Funds</t>
  </si>
  <si>
    <t>Indirect Costs Charged to Programs</t>
  </si>
  <si>
    <t>Separately Administered</t>
  </si>
  <si>
    <t>Council/</t>
  </si>
  <si>
    <t xml:space="preserve">General </t>
  </si>
  <si>
    <t>Government</t>
  </si>
  <si>
    <t>Directly Funded Indirect</t>
  </si>
  <si>
    <t xml:space="preserve">  2/</t>
  </si>
  <si>
    <t xml:space="preserve">  1/</t>
  </si>
  <si>
    <t>Housing Fund</t>
  </si>
  <si>
    <t>Bingo Fund</t>
  </si>
  <si>
    <t>Service Provider</t>
  </si>
  <si>
    <t>Description of Service Rendered</t>
  </si>
  <si>
    <t>ABC Consulting</t>
  </si>
  <si>
    <t>Revisions to employee health benefits and retirement plan</t>
  </si>
  <si>
    <t>To Exhibit E-1</t>
  </si>
  <si>
    <t>To Exhibit E-2</t>
  </si>
  <si>
    <t>N/A</t>
  </si>
  <si>
    <t>Department of Transportation:</t>
  </si>
  <si>
    <t>Department of Homeland Security:</t>
  </si>
  <si>
    <t>Passthrough (Scholarship, Participant Payments, etc.)</t>
  </si>
  <si>
    <t>Exhibit G</t>
  </si>
  <si>
    <t xml:space="preserve">Capital threshold is the dollar value above which asset acquisition is added to the capital asset accounts and depreciated over its useful life.  </t>
  </si>
  <si>
    <t>Utility Fund</t>
  </si>
  <si>
    <t>Depreciation (Exhibit G)</t>
  </si>
  <si>
    <t xml:space="preserve">Footnotes:    </t>
  </si>
  <si>
    <t xml:space="preserve">Helpful hints: </t>
  </si>
  <si>
    <t>"Exh F reconciliation"</t>
  </si>
  <si>
    <t>&amp; Exhibit F</t>
  </si>
  <si>
    <t>Exhibit H</t>
  </si>
  <si>
    <t>Summary of Depreciation Expense -</t>
  </si>
  <si>
    <t>F/S</t>
  </si>
  <si>
    <t>Ref.</t>
  </si>
  <si>
    <t xml:space="preserve">  Human Resources</t>
  </si>
  <si>
    <t>(in base)</t>
  </si>
  <si>
    <t>Audit p.</t>
  </si>
  <si>
    <t>Name of Tribal Entity</t>
  </si>
  <si>
    <t>Fund #</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</si>
  <si>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</si>
  <si>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</si>
  <si>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</si>
  <si>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</si>
  <si>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</si>
  <si>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</si>
  <si>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</si>
  <si>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</si>
  <si>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</si>
  <si>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</si>
  <si>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</si>
  <si>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</si>
  <si>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</si>
  <si>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</si>
  <si>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Exhibit C-1</t>
  </si>
  <si>
    <t>less</t>
  </si>
  <si>
    <t>Net</t>
  </si>
  <si>
    <t>Expenditure</t>
  </si>
  <si>
    <t>from Exhibit E-1</t>
  </si>
  <si>
    <t>from Exhibit C</t>
  </si>
  <si>
    <t>from Exhibit C-1</t>
  </si>
  <si>
    <t>"Exh C actual base"</t>
  </si>
  <si>
    <t>Please fill in the top portion "Costs per Audited Financial Statements".  Other cells should be automatically populated from information on Exhibit C.</t>
  </si>
  <si>
    <t xml:space="preserve">Tribal or private funds booked or spent for IDC </t>
  </si>
  <si>
    <t>Department of Defense:</t>
  </si>
  <si>
    <t>Defense</t>
  </si>
  <si>
    <t>BIA P.L. 100-297 Programs:</t>
  </si>
  <si>
    <t>Subtotal State &amp; Other Programs</t>
  </si>
  <si>
    <t>State &amp; Other</t>
  </si>
  <si>
    <t>General Ledger supporting indirect cost pool</t>
  </si>
  <si>
    <t>Exhibit I</t>
  </si>
  <si>
    <t>Reprogrammed direct dollars or direct CSC to pay for Indirect</t>
  </si>
  <si>
    <t>Government Fund</t>
  </si>
  <si>
    <t>Proprietary Fund/Enterprise Fund</t>
  </si>
  <si>
    <t>Internal Service Fund</t>
  </si>
  <si>
    <t>Fiduciary Fund</t>
  </si>
  <si>
    <t>Exhibit J</t>
  </si>
  <si>
    <t>General Ledger supporting indirect cost revenue</t>
  </si>
  <si>
    <t>Draft employee manuals</t>
  </si>
  <si>
    <t>XYZ Management Groups</t>
  </si>
  <si>
    <t>Review employee manuals &amp; policies</t>
  </si>
  <si>
    <t xml:space="preserve">Professional Fees/Contractual Services - </t>
  </si>
  <si>
    <t>Security Guard (4)</t>
  </si>
  <si>
    <t>IT Director</t>
  </si>
  <si>
    <t>Must tie to Audit Revenue or GL support on Exhibit J</t>
  </si>
  <si>
    <t>Enterprise Fund - Casino</t>
  </si>
  <si>
    <t>Total Indirect Cost Pool</t>
  </si>
  <si>
    <t>Audit Fees</t>
  </si>
  <si>
    <t>Accounting Services</t>
  </si>
  <si>
    <t>Legal Fees</t>
  </si>
  <si>
    <t>IT Services</t>
  </si>
  <si>
    <r>
      <rPr>
        <b/>
        <sz val="11"/>
        <rFont val="Times New Roman"/>
        <family val="1"/>
      </rPr>
      <t>1/</t>
    </r>
    <r>
      <rPr>
        <sz val="11"/>
        <rFont val="Times New Roman"/>
        <family val="1"/>
      </rPr>
      <t xml:space="preserve"> Land is NOT a depreciable asset (2CFR200, Subpart E, Section 200.436 (c)(1)).</t>
    </r>
  </si>
  <si>
    <t>Description</t>
  </si>
  <si>
    <t>"Other" Professional Fees</t>
  </si>
  <si>
    <t>Appendix of Schedules in Order:</t>
  </si>
  <si>
    <t>Exhibit F Reconciliation</t>
  </si>
  <si>
    <t>Exhibit G Depreciation (needed if claiming depreciation in the pool)</t>
  </si>
  <si>
    <t>Exhibit H Professional Services</t>
  </si>
  <si>
    <t>Exhibit J General Ledger of Indirect Cost Revenue (needed if support is not in audit)</t>
  </si>
  <si>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</si>
  <si>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</si>
  <si>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</si>
  <si>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t>Start here, fill in your information</t>
  </si>
  <si>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</si>
  <si>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</si>
  <si>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</si>
  <si>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</si>
  <si>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</si>
  <si>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</si>
  <si>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</si>
  <si>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</si>
  <si>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</si>
  <si>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</si>
  <si>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</si>
  <si>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</si>
  <si>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</si>
  <si>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t>Base Application (select one and/or explain for multiple rates)</t>
  </si>
  <si>
    <t>All Programs</t>
  </si>
  <si>
    <t>Other</t>
  </si>
  <si>
    <t>Costs Tied</t>
  </si>
  <si>
    <t>to Audit or GL</t>
  </si>
  <si>
    <t>**Modify the schedules to fit your needs and present information relevant to your organization**</t>
  </si>
  <si>
    <t>Should tie to SEFA</t>
  </si>
  <si>
    <t>Best practice:  Work on the worksheets as listed in the above order since information automatically populates later Exhibits.</t>
  </si>
  <si>
    <r>
      <rPr>
        <b/>
        <sz val="12"/>
        <rFont val="Times New Roman"/>
        <family val="1"/>
      </rPr>
      <t>Modified total direct cost (MTDC)</t>
    </r>
    <r>
      <rPr>
        <sz val="12"/>
        <rFont val="Times New Roman"/>
        <family val="1"/>
      </rPr>
      <t xml:space="preserve">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the first $50,000.</t>
    </r>
  </si>
  <si>
    <r>
      <rPr>
        <b/>
        <sz val="12"/>
        <rFont val="Times New Roman"/>
        <family val="1"/>
      </rPr>
      <t>Total direct costs, less capital expenditures and passthrough funds</t>
    </r>
    <r>
      <rPr>
        <sz val="12"/>
        <rFont val="Times New Roman"/>
        <family val="1"/>
      </rPr>
      <t>.  Passthrough funds are normally defined as payments to participants, stipends to eligible recipients, or subawards, all of which normally require minimal administrative effort.</t>
    </r>
  </si>
  <si>
    <r>
      <rPr>
        <b/>
        <sz val="12"/>
        <rFont val="Times New Roman"/>
        <family val="1"/>
      </rPr>
      <t xml:space="preserve">Total direct salaries and wages, </t>
    </r>
    <r>
      <rPr>
        <b/>
        <u/>
        <sz val="12"/>
        <rFont val="Times New Roman"/>
        <family val="1"/>
      </rPr>
      <t>excluding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</si>
  <si>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2"/>
        <rFont val="Times New Roman"/>
        <family val="1"/>
      </rPr>
      <t xml:space="preserve">Total direct salaries and wages, </t>
    </r>
    <r>
      <rPr>
        <b/>
        <u/>
        <sz val="12"/>
        <rFont val="Times New Roman"/>
        <family val="1"/>
      </rPr>
      <t>including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</si>
  <si>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r>
      <rPr>
        <b/>
        <sz val="12"/>
        <color indexed="10"/>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</si>
  <si>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color indexed="10"/>
        <rFont val="Times New Roman"/>
        <family val="1"/>
      </rPr>
      <t>3/</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</si>
  <si>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</si>
  <si>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6/</t>
    </r>
    <r>
      <rPr>
        <sz val="12"/>
        <rFont val="Times New Roman"/>
        <family val="1"/>
      </rPr>
      <t xml:space="preserve">  Indirect cost </t>
    </r>
    <r>
      <rPr>
        <u/>
        <sz val="12"/>
        <rFont val="Times New Roman"/>
        <family val="1"/>
      </rPr>
      <t>expenditures</t>
    </r>
    <r>
      <rPr>
        <sz val="12"/>
        <rFont val="Times New Roman"/>
        <family val="1"/>
      </rPr>
      <t xml:space="preserve"> that are charged to, booked to, or spent by the programs.  Total must tie to the audited financial statements indirect expenditure figure.  The amounts typically correspond with Indirect Cost Collections that are reported on Exhibit C-1.</t>
    </r>
  </si>
  <si>
    <r>
      <rPr>
        <b/>
        <sz val="12"/>
        <color indexed="10"/>
        <rFont val="Times New Roman"/>
        <family val="1"/>
      </rPr>
      <t>7/</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</si>
  <si>
    <t>(This schedule is required only if the Tribe is negotiating fixed carryforward rates.  The information in Column L links to Exhibit B).</t>
  </si>
  <si>
    <t>8/</t>
  </si>
  <si>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</si>
  <si>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t>Indirect Rate at</t>
  </si>
  <si>
    <t>&lt;--To Exhibit B</t>
  </si>
  <si>
    <r>
      <rPr>
        <b/>
        <sz val="12"/>
        <color indexed="10"/>
        <rFont val="Times New Roman"/>
        <family val="1"/>
      </rPr>
      <t>1/</t>
    </r>
    <r>
      <rPr>
        <sz val="12"/>
        <rFont val="Times New Roman"/>
        <family val="1"/>
      </rPr>
      <t xml:space="preserve">  If tribes want to include the first $25,000 of contractual costs in the base, a separate Subaward Schedule is required.  See website FAQ for more information and as well as the sample Subcontract/Subaward Schedule.</t>
    </r>
  </si>
  <si>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</si>
  <si>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(fill in the blanks)</t>
  </si>
  <si>
    <t>Reclassification</t>
  </si>
  <si>
    <t>Total Expenditures</t>
  </si>
  <si>
    <t>of Costs</t>
  </si>
  <si>
    <t>Salaries</t>
  </si>
  <si>
    <t>Fringes</t>
  </si>
  <si>
    <t>link to Exhibit E-2</t>
  </si>
  <si>
    <t>Direct Salaries Base</t>
  </si>
  <si>
    <t>Actual Direct</t>
  </si>
  <si>
    <t>Salaries Base</t>
  </si>
  <si>
    <t>check one of the applicable box below</t>
  </si>
  <si>
    <t>Carryforward &amp; Rate Computation</t>
  </si>
  <si>
    <t>Salaries per Audited Financial Statements or GL Support:</t>
  </si>
  <si>
    <t>Reconciliation of Audited Financial Statement SALARIES &amp; FRINGES to Indirect Cost Proposal</t>
  </si>
  <si>
    <t>Government Fund Salaries &amp; Fringes</t>
  </si>
  <si>
    <t>Proprietary Fund/Enterprise Fund Salaries &amp; Fringes</t>
  </si>
  <si>
    <t>Internal Service Fund Salaries &amp; Fringes</t>
  </si>
  <si>
    <t>Fiduciary Fund Salaries &amp; Fringes</t>
  </si>
  <si>
    <t>Direct Salaries &amp; Fringes</t>
  </si>
  <si>
    <t>Indirect Salaries &amp; Fringes</t>
  </si>
  <si>
    <t>Tribal Supplement/Reclassification</t>
  </si>
  <si>
    <t>Total Federal Expenditures per SEFA</t>
  </si>
  <si>
    <t>Total Federal Expenditures per proposal</t>
  </si>
  <si>
    <t>ck figure</t>
  </si>
  <si>
    <t>Included as</t>
  </si>
  <si>
    <r>
      <t xml:space="preserve">THIRD PARTY REVENUE </t>
    </r>
    <r>
      <rPr>
        <b/>
        <sz val="10"/>
        <color rgb="FFFF0000"/>
        <rFont val="Times New Roman"/>
        <family val="1"/>
      </rPr>
      <t>9/</t>
    </r>
  </si>
  <si>
    <t>IHS Third Party Billing</t>
  </si>
  <si>
    <t>Tribal</t>
  </si>
  <si>
    <t>Supplements/</t>
  </si>
  <si>
    <t>Excluded</t>
  </si>
  <si>
    <t xml:space="preserve">Total excluded SWF </t>
  </si>
  <si>
    <t xml:space="preserve">     Subtotal BIA (638) </t>
  </si>
  <si>
    <t xml:space="preserve">     Subtotal IHS (638) </t>
  </si>
  <si>
    <t xml:space="preserve">     Subtotal HHS (Non-638) </t>
  </si>
  <si>
    <t xml:space="preserve">     Subtotal Interior (Non-638) </t>
  </si>
  <si>
    <t xml:space="preserve">     Subtotal BIA P.L. 100-297 </t>
  </si>
  <si>
    <t xml:space="preserve">     Subtotal Commerce </t>
  </si>
  <si>
    <t xml:space="preserve">     Subtotal Agriculture </t>
  </si>
  <si>
    <t xml:space="preserve">     Subtotal Defense </t>
  </si>
  <si>
    <t xml:space="preserve">     Subtotal Education </t>
  </si>
  <si>
    <t xml:space="preserve">     Subtotal Energy </t>
  </si>
  <si>
    <t xml:space="preserve">     Subtotal EEOC </t>
  </si>
  <si>
    <t xml:space="preserve">     Subtotal EPA </t>
  </si>
  <si>
    <t xml:space="preserve">     Subtotal DHS</t>
  </si>
  <si>
    <t xml:space="preserve">     Subtotal DHS </t>
  </si>
  <si>
    <t xml:space="preserve">     Subtotal HUD </t>
  </si>
  <si>
    <t xml:space="preserve">     Subtotal IMLS </t>
  </si>
  <si>
    <t xml:space="preserve">     Subtotal Justice </t>
  </si>
  <si>
    <t xml:space="preserve">     Subtotal Labor </t>
  </si>
  <si>
    <t xml:space="preserve">     Subtotal Transportation </t>
  </si>
  <si>
    <t xml:space="preserve">Subtotal Federal Programs </t>
  </si>
  <si>
    <t xml:space="preserve">Subtotal State &amp; Other Programs </t>
  </si>
  <si>
    <t xml:space="preserve">Subtotal Third Party Programs </t>
  </si>
  <si>
    <t xml:space="preserve">Subtotal Tribal Programs </t>
  </si>
  <si>
    <t>Subtotal Federal, State and Other, and Tribal Programs</t>
  </si>
  <si>
    <r>
      <rPr>
        <b/>
        <sz val="12"/>
        <color indexed="10"/>
        <rFont val="Times New Roman"/>
        <family val="1"/>
      </rPr>
      <t xml:space="preserve">8/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If the Indirect Cost Fund is reported separately, link to total indirect costs on Exhibit E-1 </t>
    </r>
    <r>
      <rPr>
        <u/>
        <sz val="12"/>
        <rFont val="Times New Roman"/>
        <family val="1"/>
      </rPr>
      <t>including</t>
    </r>
    <r>
      <rPr>
        <sz val="12"/>
        <rFont val="Times New Roman"/>
        <family val="1"/>
      </rPr>
      <t xml:space="preserve"> depreciation.</t>
    </r>
  </si>
  <si>
    <t xml:space="preserve">     Subtotal BIA P.L. 100-297</t>
  </si>
  <si>
    <t xml:space="preserve">     Subtotal Agriculture</t>
  </si>
  <si>
    <t xml:space="preserve">     Subtotal Commerce</t>
  </si>
  <si>
    <t xml:space="preserve">     Subtotal Defense</t>
  </si>
  <si>
    <t xml:space="preserve">     Subtotal Education</t>
  </si>
  <si>
    <t xml:space="preserve">     Subtotal Energy</t>
  </si>
  <si>
    <t xml:space="preserve">     Subtotal EEOC</t>
  </si>
  <si>
    <t xml:space="preserve">     Subtotal EPA</t>
  </si>
  <si>
    <t xml:space="preserve">     Subtotal HUD</t>
  </si>
  <si>
    <t xml:space="preserve">     Subtotal IMLS</t>
  </si>
  <si>
    <t xml:space="preserve">     Subtotal Justice</t>
  </si>
  <si>
    <t xml:space="preserve">     Subtotal Labor</t>
  </si>
  <si>
    <t xml:space="preserve">     Subtotal Transportation</t>
  </si>
  <si>
    <t>Subtotal Third Party Programs</t>
  </si>
  <si>
    <r>
      <rPr>
        <b/>
        <sz val="11"/>
        <color rgb="FFFF0000"/>
        <rFont val="Times New Roman"/>
        <family val="1"/>
      </rPr>
      <t>9/</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</si>
  <si>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Provisional rate</t>
  </si>
  <si>
    <t>(Carryforward Computation may not be required)</t>
  </si>
  <si>
    <t>Actual Costs</t>
  </si>
  <si>
    <t>Proposed Costs</t>
  </si>
  <si>
    <t xml:space="preserve">Indirect Costs </t>
  </si>
  <si>
    <t>from Exhibit E-2</t>
  </si>
  <si>
    <t>from prior year negotiation agreement</t>
  </si>
  <si>
    <t>from Exhibit D</t>
  </si>
  <si>
    <t>Indirect Cost Rate (A/B)</t>
  </si>
  <si>
    <t>[SALARIES BASE]</t>
  </si>
  <si>
    <t>[TOTAL DIRECT COST BASE]</t>
  </si>
  <si>
    <t>[SALARIES AND FRINGES BASE]</t>
  </si>
  <si>
    <t>Direct Salaries and Fringes Bases</t>
  </si>
  <si>
    <t>Direct Salaries Bases</t>
  </si>
  <si>
    <t>Direct Cost Bases</t>
  </si>
  <si>
    <t>Note: The amounts shown as Indirect Costs Collections must be based on the recipient's audited financial statements or GL support.</t>
  </si>
  <si>
    <t>Funding</t>
  </si>
  <si>
    <t>Total Salaries &amp; Fringes to be Accounted For</t>
  </si>
  <si>
    <t>Total Salaries and Fringes Per Indirect Cost Proposal</t>
  </si>
  <si>
    <t>Subtotal All Programs</t>
  </si>
  <si>
    <t>IHS (Third Party Revenue)</t>
  </si>
  <si>
    <t>from PY NICRA Supplement</t>
  </si>
  <si>
    <t>Actual Pool</t>
  </si>
  <si>
    <t>Indirect Costs</t>
  </si>
  <si>
    <t>Under(Over)recovery Carryforward to</t>
  </si>
  <si>
    <t>Indirect Cost Rate</t>
  </si>
  <si>
    <t>Exhibit B-2</t>
  </si>
  <si>
    <t>Prior Year Carryforward Year</t>
  </si>
  <si>
    <t>Negotiated Rate per NICRA</t>
  </si>
  <si>
    <t>Carryforward per prior year Supplement</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</si>
  <si>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may need to add programs and agencies you do business with that are not listed.  Please modify the formula as necessary to include the new programs and agencies in the column totals.  Hide unused rows, if not needed, rather than deleting them.</t>
    </r>
  </si>
  <si>
    <t>(Non-Labor)</t>
  </si>
  <si>
    <t>Actual Direct Costs</t>
  </si>
  <si>
    <t>Proposed Direct Costs</t>
  </si>
  <si>
    <t>Reconciliation of Audited Financial Statements to Indirect Cost Proposal</t>
  </si>
  <si>
    <t>Exhibit C Actual Direct Costs</t>
  </si>
  <si>
    <t>Exhibit D Proposed Direct Costs</t>
  </si>
  <si>
    <t>Exhibit E-1 Actual Indirect Cost Pool</t>
  </si>
  <si>
    <t>Exhibit E-2 Proposed Indirect Cost Pool</t>
  </si>
  <si>
    <t>Indirect Cost Proposals utilizing the modified total direct cost base (updated December 2024)</t>
  </si>
  <si>
    <t>Exhibit B-1 Carryforward (needed if closing out a fixed carryforward rate based on TDC)</t>
  </si>
  <si>
    <t>Exhibit B-2 Carryforward (needed if closing out a fixed carryforward rate based on direct SW)</t>
  </si>
  <si>
    <t>Exhibit B-3 Carryforward (needed if closing out a fixed carryforward rate based on direct SWF)</t>
  </si>
  <si>
    <t>Exhibit B-4 Final / Provisional Rate Computations</t>
  </si>
  <si>
    <t>Exhibit B-4</t>
  </si>
  <si>
    <t>Exhibit A Rate Information Worksheet</t>
  </si>
  <si>
    <t>Exhibit I General Ledger of Indirect Costs (needed if support is not in audit)</t>
  </si>
  <si>
    <t>Exhibit C-1 Indirect Cost Collection (Revenue)</t>
  </si>
  <si>
    <t>(Col F-H)</t>
  </si>
  <si>
    <t>Final rate</t>
  </si>
  <si>
    <t>Final and Provisional Rate Computations</t>
  </si>
  <si>
    <t>Carryforward (if any)</t>
  </si>
  <si>
    <t>THIRD PARTY REVENUE 8/</t>
  </si>
  <si>
    <r>
      <rPr>
        <b/>
        <sz val="12"/>
        <rFont val="Times New Roman"/>
        <family val="1"/>
      </rPr>
      <t>1/</t>
    </r>
    <r>
      <rPr>
        <sz val="12"/>
        <rFont val="Times New Roman"/>
        <family val="1"/>
      </rPr>
      <t xml:space="preserve">  If tribes want to include the first $50,000 of contractual costs in the base, a separate Subaward Schedule is required.  See website FAQ for more information and as well as the Sample Subcontract/Subaward Schedule.</t>
    </r>
  </si>
  <si>
    <r>
      <rPr>
        <b/>
        <sz val="12"/>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</si>
  <si>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rFont val="Times New Roman"/>
        <family val="1"/>
      </rPr>
      <t xml:space="preserve">3/ </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</si>
  <si>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Entity needs to state who provides the administrative services to these funds.</t>
    </r>
  </si>
  <si>
    <r>
      <rPr>
        <b/>
        <sz val="12"/>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D) and pool (Exhibit E-2).</t>
    </r>
  </si>
  <si>
    <r>
      <rPr>
        <b/>
        <sz val="12"/>
        <rFont val="Times New Roman"/>
        <family val="1"/>
      </rPr>
      <t>6/</t>
    </r>
    <r>
      <rPr>
        <sz val="12"/>
        <rFont val="Times New Roman"/>
        <family val="1"/>
      </rPr>
      <t xml:space="preserve">  Indirect cost expenditures that are charged to, booked to, or spent by the programs.</t>
    </r>
  </si>
  <si>
    <r>
      <rPr>
        <b/>
        <sz val="12"/>
        <rFont val="Times New Roman"/>
        <family val="1"/>
      </rPr>
      <t>7/</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If the Indirect Cost Fund is reported separately, link to total indirect costs on Exhibit E-2 including depreciation.</t>
    </r>
  </si>
  <si>
    <r>
      <rPr>
        <b/>
        <sz val="11"/>
        <rFont val="Times New Roman"/>
        <family val="1"/>
      </rPr>
      <t>8/</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</si>
  <si>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(out of base)</t>
  </si>
  <si>
    <r>
      <t xml:space="preserve">Salaries:    </t>
    </r>
    <r>
      <rPr>
        <b/>
        <sz val="11"/>
        <rFont val="Times New Roman"/>
        <family val="1"/>
      </rPr>
      <t>1/</t>
    </r>
  </si>
  <si>
    <r>
      <t xml:space="preserve">Other (specify on Exhibit H) </t>
    </r>
    <r>
      <rPr>
        <b/>
        <sz val="11"/>
        <rFont val="Times New Roman"/>
        <family val="1"/>
      </rPr>
      <t>2/</t>
    </r>
  </si>
  <si>
    <r>
      <rPr>
        <b/>
        <sz val="12"/>
        <rFont val="Times New Roman"/>
        <family val="1"/>
      </rPr>
      <t>1/</t>
    </r>
    <r>
      <rPr>
        <sz val="12"/>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</si>
  <si>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2"/>
        <rFont val="Times New Roman"/>
        <family val="1"/>
      </rPr>
      <t>2/</t>
    </r>
    <r>
      <rPr>
        <sz val="12"/>
        <rFont val="Times New Roman"/>
        <family val="1"/>
      </rPr>
      <t xml:space="preserve">  For "other" professional &amp; contractual services - Please provide a breakdown by type of service and associated amount on Exhibit H.</t>
    </r>
  </si>
  <si>
    <r>
      <rPr>
        <b/>
        <sz val="12"/>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</si>
  <si>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C).</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</si>
  <si>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</si>
  <si>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C</t>
    </r>
    <r>
      <rPr>
        <sz val="12"/>
        <rFont val="Times New Roman"/>
        <family val="1"/>
      </rPr>
      <t>).</t>
    </r>
  </si>
  <si>
    <r>
      <rPr>
        <b/>
        <sz val="12"/>
        <rFont val="Times New Roman"/>
        <family val="1"/>
      </rPr>
      <t xml:space="preserve">7/ </t>
    </r>
    <r>
      <rPr>
        <sz val="12"/>
        <rFont val="Times New Roman"/>
        <family val="1"/>
      </rPr>
      <t xml:space="preserve">Report this amount--before depreciation--on Exhibit C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</si>
  <si>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C if the Total Expenditures per Financial Statements includes depreciation expense or if the indirect cost fund is reported separately in the Audit.  </t>
    </r>
  </si>
  <si>
    <t>Indirect Cost Revenues per Audit or GL 1/</t>
  </si>
  <si>
    <t>Reprogrammed indirect dollars or indirect CSC to pay for direct CSC 2/</t>
  </si>
  <si>
    <t>Indirect Cost Revenues (to be entered in collection column of carryforward schedule) 3/</t>
  </si>
  <si>
    <r>
      <rPr>
        <b/>
        <sz val="12"/>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</si>
  <si>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rFont val="Times New Roman"/>
        <family val="1"/>
      </rPr>
      <t>2/</t>
    </r>
    <r>
      <rPr>
        <sz val="12"/>
        <rFont val="Times New Roman"/>
        <family val="1"/>
      </rPr>
      <t xml:space="preserve"> For ISDA 638 Programs, insert the total CSC Funding Award amount in Col J which was used to pay unfunded direct CSC.</t>
    </r>
  </si>
  <si>
    <r>
      <rPr>
        <b/>
        <sz val="12"/>
        <rFont val="Times New Roman"/>
        <family val="1"/>
      </rPr>
      <t>3/</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</si>
  <si>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t xml:space="preserve">Salaries:   </t>
    </r>
    <r>
      <rPr>
        <b/>
        <sz val="11"/>
        <rFont val="Times New Roman"/>
        <family val="1"/>
      </rPr>
      <t xml:space="preserve"> 1/</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</si>
  <si>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D).</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</si>
  <si>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D</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</si>
  <si>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D</t>
    </r>
    <r>
      <rPr>
        <sz val="12"/>
        <rFont val="Times New Roman"/>
        <family val="1"/>
      </rPr>
      <t>).</t>
    </r>
  </si>
  <si>
    <r>
      <rPr>
        <b/>
        <sz val="12"/>
        <rFont val="Times New Roman"/>
        <family val="1"/>
      </rPr>
      <t xml:space="preserve">7/ </t>
    </r>
    <r>
      <rPr>
        <sz val="12"/>
        <rFont val="Times New Roman"/>
        <family val="1"/>
      </rPr>
      <t xml:space="preserve">Report this amount--before depreciation--on Exhibit D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</si>
  <si>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D if the Total Expenditures per Financial Statements includes depreciation expense or if the indirect cost fund is reported separately in the Audit.  </t>
    </r>
  </si>
  <si>
    <r>
      <rPr>
        <b/>
        <sz val="11"/>
        <rFont val="Times New Roman"/>
        <family val="1"/>
      </rPr>
      <t xml:space="preserve">1/ </t>
    </r>
    <r>
      <rPr>
        <sz val="11"/>
        <rFont val="Times New Roman"/>
        <family val="1"/>
      </rPr>
      <t xml:space="preserve"> Total must tie to Total per Financial Statements shown on Exhibit C.</t>
    </r>
  </si>
  <si>
    <r>
      <rPr>
        <b/>
        <sz val="11"/>
        <rFont val="Times New Roman"/>
        <family val="1"/>
      </rPr>
      <t>2/</t>
    </r>
    <r>
      <rPr>
        <sz val="11"/>
        <rFont val="Times New Roman"/>
        <family val="1"/>
      </rPr>
      <t xml:space="preserve">  Provide an explanation for any difference.</t>
    </r>
  </si>
  <si>
    <r>
      <t>Excluded Salaries &amp; Fringes 4</t>
    </r>
    <r>
      <rPr>
        <b/>
        <sz val="11"/>
        <rFont val="Times New Roman"/>
        <family val="1"/>
      </rPr>
      <t>/</t>
    </r>
  </si>
  <si>
    <t>Excluded Pool Salaries &amp; Fringes 4/</t>
  </si>
  <si>
    <r>
      <rPr>
        <b/>
        <sz val="11"/>
        <rFont val="Times New Roman"/>
        <family val="1"/>
      </rPr>
      <t xml:space="preserve">3/ </t>
    </r>
    <r>
      <rPr>
        <sz val="11"/>
        <rFont val="Times New Roman"/>
        <family val="1"/>
      </rPr>
      <t xml:space="preserve"> Total must tie to actual direct cost base schedule (Exhibit C).</t>
    </r>
  </si>
  <si>
    <r>
      <t xml:space="preserve">4/ </t>
    </r>
    <r>
      <rPr>
        <sz val="11"/>
        <rFont val="Times New Roman"/>
        <family val="1"/>
      </rPr>
      <t xml:space="preserve"> Provide an explanation why salaries are excluded.</t>
    </r>
  </si>
  <si>
    <r>
      <rPr>
        <b/>
        <sz val="11"/>
        <rFont val="Times New Roman"/>
        <family val="1"/>
      </rPr>
      <t>5/</t>
    </r>
    <r>
      <rPr>
        <sz val="11"/>
        <rFont val="Times New Roman"/>
        <family val="1"/>
      </rPr>
      <t xml:space="preserve">  Provide an explanation for any difference.</t>
    </r>
  </si>
  <si>
    <t>(This schedule is required if "other" professional &amp; contractual services are included in the indirect cost pool (Exhibits E-1 &amp; E-2))</t>
  </si>
  <si>
    <t>(This schedule is required if depreciation is included in the indirect cost pool (Exhibits E-1 &amp; E-2))</t>
  </si>
  <si>
    <t>(This schedule is required if the indirect cost pool total (Exhibit E-1, Column D or N) cannot tie to audited financial statements)</t>
  </si>
  <si>
    <t>(This schedule is required if the indirect cost revenue total (Exhibit C-1, Column D) cannot tie to audited financial statements)</t>
  </si>
  <si>
    <r>
      <rPr>
        <b/>
        <sz val="12"/>
        <rFont val="Times New Roman"/>
        <family val="1"/>
      </rPr>
      <t>1/</t>
    </r>
    <r>
      <rPr>
        <sz val="12"/>
        <rFont val="Times New Roman"/>
        <family val="1"/>
      </rPr>
      <t xml:space="preserve">  Source:  Prior year (PY) negotiated indirect cost rate agreement (NICRA), Supplement 1 for</t>
    </r>
  </si>
  <si>
    <r>
      <rPr>
        <b/>
        <sz val="12"/>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</si>
  <si>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</si>
  <si>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</si>
  <si>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Third Party Billing</t>
  </si>
  <si>
    <t xml:space="preserve">Direct Salaries </t>
  </si>
  <si>
    <t>variance</t>
  </si>
  <si>
    <t>Reconciliation of SEFA to Indirect Cost Proposal</t>
  </si>
  <si>
    <r>
      <rPr>
        <b/>
        <sz val="11"/>
        <rFont val="Times New Roman"/>
        <family val="1"/>
      </rPr>
      <t>6/</t>
    </r>
    <r>
      <rPr>
        <sz val="11"/>
        <rFont val="Times New Roman"/>
        <family val="1"/>
      </rPr>
      <t xml:space="preserve">  Provide an explanation for any difference.</t>
    </r>
  </si>
  <si>
    <t>Sample Tribe</t>
  </si>
  <si>
    <t>FY 2022</t>
  </si>
  <si>
    <t>FY 2025</t>
  </si>
  <si>
    <t>FY 2019</t>
  </si>
  <si>
    <t>X</t>
  </si>
  <si>
    <t>Consolidated Tribal Government</t>
  </si>
  <si>
    <t>Aid to Tribal Government</t>
  </si>
  <si>
    <t>Family Counseling Program</t>
  </si>
  <si>
    <t>Consolidated Health Program</t>
  </si>
  <si>
    <t>Tribal Health Management Grant</t>
  </si>
  <si>
    <t>Community Health Representative</t>
  </si>
  <si>
    <t>Substance Abuse and Prevention</t>
  </si>
  <si>
    <t>Developmental Disabilities</t>
  </si>
  <si>
    <t>Administration on Aging</t>
  </si>
  <si>
    <t>Title III-Aging</t>
  </si>
  <si>
    <t>Indian Child Welfare Services</t>
  </si>
  <si>
    <t>Building Stronger Families</t>
  </si>
  <si>
    <t>Special Diabetes</t>
  </si>
  <si>
    <t>Water Management</t>
  </si>
  <si>
    <t>Monitor Ground Water Wells</t>
  </si>
  <si>
    <t>Cultural Resource Monitoring</t>
  </si>
  <si>
    <t>K-12 Grade</t>
  </si>
  <si>
    <t>Food Distribution</t>
  </si>
  <si>
    <t>Elderly Feeding</t>
  </si>
  <si>
    <t>Food Assistance</t>
  </si>
  <si>
    <t>Sewer Replacement Project</t>
  </si>
  <si>
    <t xml:space="preserve">Nutrition </t>
  </si>
  <si>
    <t>Summer Food</t>
  </si>
  <si>
    <t xml:space="preserve">Economic Development </t>
  </si>
  <si>
    <t>Vocational Rehabilitation</t>
  </si>
  <si>
    <t>Education Assistance</t>
  </si>
  <si>
    <t xml:space="preserve"> Bonneville Power Administration-</t>
  </si>
  <si>
    <t>Reservation Habitat Enhancement Project</t>
  </si>
  <si>
    <t>Enhanced Fish and Wildlife Comm. Cultural</t>
  </si>
  <si>
    <t>Wildlife Coordinator</t>
  </si>
  <si>
    <t>TERO</t>
  </si>
  <si>
    <t>PWSS</t>
  </si>
  <si>
    <t>General Assistance</t>
  </si>
  <si>
    <t>Clean Air Act</t>
  </si>
  <si>
    <t>Tribal Resources (COPS)</t>
  </si>
  <si>
    <t>Tabaco Prevention</t>
  </si>
  <si>
    <t>Juvenile Justice &amp; Delinquency Prevention</t>
  </si>
  <si>
    <t>State Fire Protection</t>
  </si>
  <si>
    <t>ARCO Bull Trout Recovery</t>
  </si>
  <si>
    <t>Contract &amp; Grants Administrator</t>
  </si>
  <si>
    <t>Council Stipends (5)</t>
  </si>
  <si>
    <t xml:space="preserve">  Bureau of Reclamation-</t>
  </si>
  <si>
    <t xml:space="preserve">  Bureau of Land Management-</t>
  </si>
  <si>
    <t>K-12 School</t>
  </si>
  <si>
    <t xml:space="preserve">  Food and Nutrition Service-</t>
  </si>
  <si>
    <t>Nutrition Program</t>
  </si>
  <si>
    <t>Economic Development</t>
  </si>
  <si>
    <t xml:space="preserve">  Bonneville Power Administration-</t>
  </si>
  <si>
    <t>Tribal Employment Rights Office</t>
  </si>
  <si>
    <t>Tobacco Prevention</t>
  </si>
  <si>
    <t>Juvenile Justice &amp; Delinquency Preventions</t>
  </si>
  <si>
    <t>Audit p. 8</t>
  </si>
  <si>
    <t>Audit p. 11</t>
  </si>
  <si>
    <t>Audit p. 12</t>
  </si>
  <si>
    <t>Audit p. 87</t>
  </si>
  <si>
    <t>Enterprise funds</t>
  </si>
  <si>
    <t>Sep Admin/</t>
  </si>
  <si>
    <t xml:space="preserve"> 4/</t>
  </si>
  <si>
    <r>
      <rPr>
        <b/>
        <sz val="12"/>
        <color rgb="FFFF0000"/>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In the narrative portion of the proposal, please identify who provides the administrative services to these programs.</t>
    </r>
  </si>
  <si>
    <t>Roads Program</t>
  </si>
  <si>
    <t>Transportation - Roads</t>
  </si>
  <si>
    <t>Passed through BIA:</t>
  </si>
  <si>
    <t>Enterprise Fund (Casino) - Sep Admin</t>
  </si>
  <si>
    <t>Direct Fringes</t>
  </si>
  <si>
    <t>Proposed Rate Year</t>
  </si>
  <si>
    <t>Prior Negotiated Rate Year</t>
  </si>
  <si>
    <t>Link to Exhibit E-1</t>
  </si>
  <si>
    <t>Totals to Exhibit F</t>
  </si>
  <si>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submitted upon request.  This schedule should contain an asset description, date of purchase or completion, method of purchase, full life expectancy, total costs, and yearly depreciation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</si>
</sst>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35"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b/>
      <sz val="11"/>
      <name val="Times New Roman"/>
      <family val="1"/>
    </font>
    <font>
      <sz val="11"/>
      <name val="Times New Roman"/>
      <family val="1"/>
    </font>
    <font>
      <u/>
      <sz val="11"/>
      <name val="Times New Roman"/>
      <family val="1"/>
    </font>
    <font>
      <b/>
      <sz val="16"/>
      <name val="Century Schoolbook"/>
      <family val="1"/>
    </font>
    <font>
      <b/>
      <sz val="12"/>
      <color indexed="10"/>
      <name val="Times New Roman"/>
      <family val="1"/>
    </font>
    <font>
      <sz val="11"/>
      <name val="Times New Roman"/>
      <family val="1"/>
    </font>
    <font>
      <b/>
      <sz val="11"/>
      <color indexed="10"/>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u/>
      <sz val="12"/>
      <name val="Times New Roman"/>
      <family val="1"/>
    </font>
    <font>
      <b/>
      <sz val="12"/>
      <color rgb="FFFF0000"/>
      <name val="Times New Roman"/>
      <family val="1"/>
    </font>
    <font>
      <b/>
      <u/>
      <sz val="14"/>
      <name val="Times New Roman"/>
      <family val="1"/>
    </font>
    <font>
      <b/>
      <u/>
      <sz val="12"/>
      <name val="Times New Roman"/>
      <family val="1"/>
    </font>
    <font>
      <i/>
      <sz val="11"/>
      <name val="Times New Roman"/>
      <family val="1"/>
    </font>
    <font>
      <sz val="11"/>
      <name val="Times New Roman"/>
      <family val="1"/>
    </font>
    <font>
      <b/>
      <sz val="10"/>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10">
    <xf numFmtId="0" fontId="0" fillId="0" borderId="0"/>
    <xf numFmtId="43" fontId="19" fillId="0" borderId="0" applyFont="0" applyFill="0" applyBorder="0" applyAlignment="0" applyProtection="0"/>
    <xf numFmtId="0" fontId="9" fillId="0" borderId="0"/>
    <xf numFmtId="0" fontId="9" fillId="0" borderId="0"/>
    <xf numFmtId="0" fontId="13" fillId="0" borderId="0"/>
    <xf numFmtId="0" fontId="9" fillId="0" borderId="0"/>
    <xf numFmtId="0" fontId="24" fillId="0" borderId="0"/>
    <xf numFmtId="9" fontId="33" fillId="0" borderId="0" applyFont="0" applyFill="0" applyBorder="0" applyAlignment="0" applyProtection="0"/>
    <xf numFmtId="0" fontId="9" fillId="0" borderId="0"/>
    <xf numFmtId="3" fontId="25" fillId="0" borderId="0">
      <alignment vertical="top"/>
    </xf>
  </cellStyleXfs>
  <cellXfs count="463">
    <xf numFmtId="0" fontId="0" fillId="0" borderId="0" xfId="0"/>
    <xf numFmtId="0" fontId="2" fillId="0" borderId="0" xfId="0" applyFont="1"/>
    <xf numFmtId="3" fontId="9" fillId="0" borderId="0" xfId="0" applyNumberFormat="1" applyFont="1" applyFill="1"/>
    <xf numFmtId="3"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9" fillId="0" borderId="0" xfId="5" applyNumberFormat="1" applyFont="1" applyFill="1" applyBorder="1"/>
    <xf numFmtId="3" fontId="9" fillId="0" borderId="0" xfId="5" applyNumberFormat="1" applyFont="1" applyFill="1" applyAlignment="1">
      <alignment horizontal="right"/>
    </xf>
    <xf numFmtId="0" fontId="4" fillId="0" borderId="6" xfId="0" applyFont="1" applyFill="1" applyBorder="1" applyAlignment="1">
      <alignment horizontal="center"/>
    </xf>
    <xf numFmtId="3" fontId="9" fillId="0" borderId="0" xfId="0" applyNumberFormat="1" applyFont="1" applyFill="1" applyBorder="1"/>
    <xf numFmtId="0" fontId="9" fillId="0" borderId="0" xfId="0" applyFont="1" applyFill="1" applyBorder="1" applyAlignment="1">
      <alignment vertical="center" wrapText="1"/>
    </xf>
    <xf numFmtId="0" fontId="9" fillId="0" borderId="0" xfId="0" applyFont="1" applyFill="1" applyBorder="1" applyAlignment="1">
      <alignment wrapText="1"/>
    </xf>
    <xf numFmtId="3" fontId="9" fillId="0" borderId="0" xfId="0" applyNumberFormat="1" applyFont="1" applyFill="1" applyBorder="1" applyAlignment="1">
      <alignment vertical="center"/>
    </xf>
    <xf numFmtId="3" fontId="17" fillId="0" borderId="0" xfId="0" applyNumberFormat="1" applyFont="1" applyFill="1"/>
    <xf numFmtId="3" fontId="8" fillId="0" borderId="0" xfId="0" applyNumberFormat="1" applyFont="1" applyFill="1"/>
    <xf numFmtId="3" fontId="8" fillId="0" borderId="0" xfId="0" applyNumberFormat="1" applyFont="1" applyFill="1" applyAlignment="1">
      <alignment horizontal="center"/>
    </xf>
    <xf numFmtId="3" fontId="8" fillId="0" borderId="0" xfId="0" applyNumberFormat="1" applyFont="1" applyFill="1" applyBorder="1" applyAlignment="1">
      <alignment horizontal="center"/>
    </xf>
    <xf numFmtId="3" fontId="8" fillId="0" borderId="6" xfId="0" applyNumberFormat="1" applyFont="1" applyFill="1" applyBorder="1" applyAlignment="1">
      <alignment horizontal="center"/>
    </xf>
    <xf numFmtId="3" fontId="14" fillId="0" borderId="6" xfId="0" applyNumberFormat="1" applyFont="1" applyFill="1" applyBorder="1" applyAlignment="1">
      <alignment horizontal="center"/>
    </xf>
    <xf numFmtId="3" fontId="9" fillId="0" borderId="0" xfId="0" applyNumberFormat="1" applyFont="1" applyFill="1" applyBorder="1" applyAlignment="1">
      <alignment horizontal="right"/>
    </xf>
    <xf numFmtId="3" fontId="9" fillId="0" borderId="0" xfId="0" applyNumberFormat="1" applyFont="1" applyFill="1" applyAlignment="1">
      <alignment horizontal="left"/>
    </xf>
    <xf numFmtId="3" fontId="9" fillId="0" borderId="0" xfId="4" applyNumberFormat="1" applyFont="1" applyFill="1"/>
    <xf numFmtId="3" fontId="9" fillId="0" borderId="0" xfId="0" applyNumberFormat="1" applyFont="1" applyFill="1" applyBorder="1" applyAlignment="1">
      <alignment horizontal="center"/>
    </xf>
    <xf numFmtId="3" fontId="9" fillId="0" borderId="0" xfId="4" applyNumberFormat="1" applyFont="1" applyFill="1" applyAlignment="1">
      <alignment horizontal="center"/>
    </xf>
    <xf numFmtId="3" fontId="9" fillId="0" borderId="6" xfId="4" applyNumberFormat="1" applyFont="1" applyFill="1" applyBorder="1" applyAlignment="1">
      <alignment horizontal="center"/>
    </xf>
    <xf numFmtId="3" fontId="9" fillId="0" borderId="0" xfId="2" applyNumberFormat="1" applyFont="1" applyFill="1"/>
    <xf numFmtId="3" fontId="9" fillId="0" borderId="0" xfId="2" applyNumberFormat="1" applyFont="1" applyFill="1" applyBorder="1"/>
    <xf numFmtId="3" fontId="9" fillId="0" borderId="2" xfId="4" applyNumberFormat="1" applyFont="1" applyFill="1" applyBorder="1"/>
    <xf numFmtId="165" fontId="8" fillId="0" borderId="0" xfId="4" applyNumberFormat="1" applyFont="1" applyFill="1" applyBorder="1"/>
    <xf numFmtId="3" fontId="9" fillId="0" borderId="0" xfId="0" applyNumberFormat="1" applyFont="1" applyFill="1" applyAlignment="1">
      <alignment horizontal="right"/>
    </xf>
    <xf numFmtId="165" fontId="9" fillId="0" borderId="0" xfId="0" applyNumberFormat="1" applyFont="1" applyFill="1" applyBorder="1"/>
    <xf numFmtId="3" fontId="9" fillId="0" borderId="0" xfId="0" applyNumberFormat="1" applyFont="1" applyFill="1" applyAlignment="1">
      <alignment horizontal="center"/>
    </xf>
    <xf numFmtId="3" fontId="9" fillId="0" borderId="0" xfId="0" applyNumberFormat="1" applyFont="1" applyFill="1" applyBorder="1" applyAlignment="1"/>
    <xf numFmtId="3" fontId="9" fillId="0" borderId="0" xfId="0" applyNumberFormat="1" applyFont="1" applyFill="1" applyAlignment="1"/>
    <xf numFmtId="0" fontId="9" fillId="0" borderId="0" xfId="0" applyFont="1" applyFill="1" applyAlignment="1"/>
    <xf numFmtId="3" fontId="9" fillId="0" borderId="0" xfId="5" applyNumberFormat="1" applyFont="1" applyFill="1" applyBorder="1" applyAlignment="1">
      <alignment horizontal="right"/>
    </xf>
    <xf numFmtId="3" fontId="9" fillId="0" borderId="1" xfId="0" applyNumberFormat="1" applyFont="1" applyFill="1" applyBorder="1"/>
    <xf numFmtId="3" fontId="14" fillId="0" borderId="0" xfId="0" applyNumberFormat="1" applyFont="1" applyFill="1" applyAlignment="1">
      <alignment horizontal="center"/>
    </xf>
    <xf numFmtId="0" fontId="15" fillId="0" borderId="0" xfId="0" applyFont="1" applyFill="1" applyBorder="1" applyAlignment="1">
      <alignment wrapText="1"/>
    </xf>
    <xf numFmtId="3" fontId="9" fillId="0" borderId="0" xfId="0" applyNumberFormat="1" applyFont="1" applyFill="1" applyBorder="1" applyAlignment="1">
      <alignment horizontal="left" vertical="center" wrapText="1"/>
    </xf>
    <xf numFmtId="9" fontId="9" fillId="0" borderId="0" xfId="5" applyNumberFormat="1" applyFont="1" applyFill="1" applyAlignment="1">
      <alignment horizontal="right"/>
    </xf>
    <xf numFmtId="3" fontId="17" fillId="0" borderId="0" xfId="0" applyNumberFormat="1" applyFont="1" applyFill="1" applyAlignment="1">
      <alignment horizontal="right"/>
    </xf>
    <xf numFmtId="9" fontId="9" fillId="0" borderId="0" xfId="0" applyNumberFormat="1" applyFont="1" applyFill="1" applyAlignment="1">
      <alignment horizontal="right"/>
    </xf>
    <xf numFmtId="0" fontId="9" fillId="0" borderId="0" xfId="0" applyFont="1" applyFill="1" applyBorder="1" applyAlignment="1"/>
    <xf numFmtId="0" fontId="17"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9" fillId="0" borderId="0" xfId="0" applyFont="1" applyFill="1" applyBorder="1" applyAlignment="1">
      <alignment horizontal="center"/>
    </xf>
    <xf numFmtId="3" fontId="17" fillId="0" borderId="0" xfId="0" applyNumberFormat="1" applyFont="1" applyFill="1" applyBorder="1"/>
    <xf numFmtId="3" fontId="8" fillId="0" borderId="0" xfId="0" applyNumberFormat="1" applyFont="1" applyFill="1" applyBorder="1" applyAlignment="1">
      <alignment horizontal="centerContinuous"/>
    </xf>
    <xf numFmtId="3" fontId="8" fillId="0" borderId="0" xfId="0" applyNumberFormat="1" applyFont="1" applyFill="1" applyBorder="1"/>
    <xf numFmtId="0" fontId="3" fillId="0" borderId="0" xfId="0" applyFont="1"/>
    <xf numFmtId="0" fontId="3" fillId="0" borderId="0" xfId="0" applyFont="1" applyAlignment="1">
      <alignment horizontal="center"/>
    </xf>
    <xf numFmtId="0" fontId="22" fillId="0" borderId="0" xfId="0" applyFont="1"/>
    <xf numFmtId="0" fontId="22" fillId="0" borderId="0" xfId="0" applyFont="1" applyAlignment="1">
      <alignment wrapText="1"/>
    </xf>
    <xf numFmtId="0" fontId="4" fillId="0" borderId="0" xfId="4" applyFont="1" applyFill="1"/>
    <xf numFmtId="3" fontId="8"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8" fillId="0" borderId="6" xfId="0" applyNumberFormat="1" applyFont="1" applyFill="1" applyBorder="1" applyAlignment="1">
      <alignment horizontal="left"/>
    </xf>
    <xf numFmtId="3" fontId="8"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9" fillId="0" borderId="0" xfId="5" applyNumberFormat="1" applyFont="1" applyFill="1" applyAlignment="1">
      <alignment horizontal="center"/>
    </xf>
    <xf numFmtId="3" fontId="9" fillId="0" borderId="0" xfId="0" applyNumberFormat="1" applyFont="1" applyFill="1" applyBorder="1" applyAlignment="1">
      <alignment vertical="top"/>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9" fillId="0" borderId="0" xfId="0" applyNumberFormat="1" applyFont="1" applyFill="1" applyAlignment="1">
      <alignment horizontal="right" vertical="top"/>
    </xf>
    <xf numFmtId="0" fontId="15" fillId="0" borderId="0" xfId="0" applyFont="1" applyFill="1" applyBorder="1" applyAlignment="1">
      <alignment vertical="center" wrapText="1"/>
    </xf>
    <xf numFmtId="3" fontId="9" fillId="0" borderId="0" xfId="0" applyNumberFormat="1" applyFont="1" applyFill="1" applyAlignment="1">
      <alignment vertical="center"/>
    </xf>
    <xf numFmtId="0" fontId="2" fillId="0" borderId="0" xfId="0" applyFont="1" applyFill="1" applyAlignment="1"/>
    <xf numFmtId="9" fontId="1" fillId="0" borderId="0" xfId="0" applyNumberFormat="1" applyFont="1" applyFill="1"/>
    <xf numFmtId="3" fontId="5" fillId="0" borderId="0" xfId="0" applyNumberFormat="1" applyFont="1" applyFill="1" applyAlignment="1">
      <alignment horizontal="center"/>
    </xf>
    <xf numFmtId="9" fontId="17"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9" fillId="0" borderId="0" xfId="0" applyNumberFormat="1" applyFont="1" applyFill="1"/>
    <xf numFmtId="9" fontId="9" fillId="0" borderId="0" xfId="0" applyNumberFormat="1" applyFont="1" applyFill="1" applyBorder="1"/>
    <xf numFmtId="9" fontId="9" fillId="0" borderId="0" xfId="5" applyNumberFormat="1" applyFont="1" applyFill="1" applyBorder="1"/>
    <xf numFmtId="165" fontId="9" fillId="0" borderId="2" xfId="0" applyNumberFormat="1" applyFont="1" applyFill="1" applyBorder="1"/>
    <xf numFmtId="3" fontId="16" fillId="0" borderId="0" xfId="0" applyNumberFormat="1" applyFont="1" applyFill="1" applyAlignment="1">
      <alignment horizontal="left"/>
    </xf>
    <xf numFmtId="165" fontId="9" fillId="0" borderId="0" xfId="0" applyNumberFormat="1" applyFont="1" applyFill="1"/>
    <xf numFmtId="3" fontId="9" fillId="0" borderId="5" xfId="0" applyNumberFormat="1" applyFont="1" applyFill="1" applyBorder="1"/>
    <xf numFmtId="3" fontId="8" fillId="0" borderId="0" xfId="0" applyNumberFormat="1" applyFont="1" applyFill="1" applyAlignment="1">
      <alignment vertical="top"/>
    </xf>
    <xf numFmtId="9" fontId="2" fillId="0" borderId="0" xfId="5" applyNumberFormat="1" applyFont="1" applyFill="1"/>
    <xf numFmtId="3" fontId="2" fillId="0" borderId="0" xfId="5" applyNumberFormat="1" applyFont="1" applyFill="1" applyAlignment="1">
      <alignment horizontal="center"/>
    </xf>
    <xf numFmtId="0" fontId="17"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9" fillId="0" borderId="0" xfId="0" applyFont="1" applyFill="1"/>
    <xf numFmtId="0" fontId="9" fillId="0" borderId="0" xfId="0" applyFont="1" applyFill="1" applyAlignment="1">
      <alignment horizontal="center"/>
    </xf>
    <xf numFmtId="0" fontId="9" fillId="0" borderId="0" xfId="3" applyFont="1" applyFill="1"/>
    <xf numFmtId="165" fontId="9" fillId="0" borderId="0" xfId="0" applyNumberFormat="1" applyFont="1" applyFill="1" applyBorder="1" applyAlignment="1">
      <alignment horizontal="center"/>
    </xf>
    <xf numFmtId="0" fontId="9" fillId="0" borderId="0" xfId="0" applyFont="1" applyFill="1" applyAlignment="1">
      <alignment horizontal="right"/>
    </xf>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17" fillId="0" borderId="6" xfId="4" applyNumberFormat="1" applyFont="1" applyFill="1" applyBorder="1"/>
    <xf numFmtId="3" fontId="1" fillId="0" borderId="6" xfId="4" applyNumberFormat="1" applyFont="1" applyFill="1" applyBorder="1" applyAlignment="1">
      <alignment horizontal="center"/>
    </xf>
    <xf numFmtId="3" fontId="8" fillId="0" borderId="0" xfId="4" applyNumberFormat="1" applyFont="1" applyFill="1" applyAlignment="1">
      <alignment horizontal="left"/>
    </xf>
    <xf numFmtId="3" fontId="9" fillId="0" borderId="0" xfId="4" applyNumberFormat="1" applyFont="1" applyFill="1" applyAlignment="1">
      <alignment horizontal="right"/>
    </xf>
    <xf numFmtId="3" fontId="9" fillId="0" borderId="0" xfId="4" applyNumberFormat="1" applyFont="1" applyFill="1" applyBorder="1"/>
    <xf numFmtId="3" fontId="8" fillId="0" borderId="0" xfId="4" applyNumberFormat="1" applyFont="1" applyFill="1" applyAlignment="1">
      <alignment horizontal="center"/>
    </xf>
    <xf numFmtId="3" fontId="9" fillId="0" borderId="0" xfId="4" applyNumberFormat="1" applyFont="1" applyFill="1" applyBorder="1" applyAlignment="1">
      <alignment horizontal="right"/>
    </xf>
    <xf numFmtId="165" fontId="8"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165" fontId="5" fillId="0" borderId="0" xfId="4" applyNumberFormat="1" applyFont="1" applyFill="1"/>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0" fontId="20" fillId="0" borderId="0" xfId="0" applyFont="1" applyFill="1" applyAlignment="1">
      <alignment wrapText="1"/>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9" fillId="0" borderId="0" xfId="6" applyNumberFormat="1" applyFont="1" applyAlignment="1">
      <alignment horizontal="right"/>
    </xf>
    <xf numFmtId="5" fontId="9" fillId="0" borderId="0" xfId="6" applyNumberFormat="1" applyFont="1" applyAlignment="1">
      <alignment horizontal="right"/>
    </xf>
    <xf numFmtId="37" fontId="3" fillId="0" borderId="0" xfId="6" applyNumberFormat="1" applyFont="1"/>
    <xf numFmtId="37" fontId="25" fillId="0" borderId="0" xfId="6" applyNumberFormat="1" applyFont="1"/>
    <xf numFmtId="37" fontId="9"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9" fillId="0" borderId="0" xfId="6" applyNumberFormat="1" applyFont="1"/>
    <xf numFmtId="37" fontId="15" fillId="0" borderId="0" xfId="6" applyNumberFormat="1" applyFont="1"/>
    <xf numFmtId="37" fontId="9" fillId="0" borderId="0" xfId="6" applyNumberFormat="1" applyFont="1" applyAlignment="1">
      <alignment horizontal="center"/>
    </xf>
    <xf numFmtId="37" fontId="9" fillId="0" borderId="0" xfId="6" applyNumberFormat="1" applyFont="1" applyFill="1"/>
    <xf numFmtId="37" fontId="8" fillId="0" borderId="6" xfId="6" applyNumberFormat="1" applyFont="1" applyBorder="1" applyAlignment="1">
      <alignment horizontal="center" wrapText="1"/>
    </xf>
    <xf numFmtId="37" fontId="8" fillId="0" borderId="6" xfId="6" applyNumberFormat="1" applyFont="1" applyFill="1" applyBorder="1" applyAlignment="1">
      <alignment horizontal="center" wrapText="1"/>
    </xf>
    <xf numFmtId="37" fontId="9" fillId="2" borderId="0" xfId="6" applyNumberFormat="1" applyFont="1" applyFill="1"/>
    <xf numFmtId="37" fontId="9" fillId="2" borderId="0" xfId="6" applyNumberFormat="1" applyFont="1" applyFill="1" applyAlignment="1">
      <alignment horizontal="right"/>
    </xf>
    <xf numFmtId="37" fontId="9" fillId="0" borderId="0" xfId="6" applyNumberFormat="1" applyFont="1" applyFill="1" applyAlignment="1">
      <alignment horizontal="right"/>
    </xf>
    <xf numFmtId="37" fontId="15" fillId="0" borderId="0" xfId="6" applyNumberFormat="1" applyFont="1" applyFill="1"/>
    <xf numFmtId="37" fontId="9" fillId="0" borderId="0" xfId="6" applyNumberFormat="1" applyFont="1" applyBorder="1" applyAlignment="1">
      <alignment horizontal="center"/>
    </xf>
    <xf numFmtId="37" fontId="9" fillId="0" borderId="0" xfId="6" applyNumberFormat="1" applyFont="1" applyFill="1" applyAlignment="1">
      <alignment horizontal="center"/>
    </xf>
    <xf numFmtId="37" fontId="9" fillId="0" borderId="0" xfId="6" applyNumberFormat="1" applyFont="1" applyFill="1" applyBorder="1" applyAlignment="1">
      <alignment horizontal="center"/>
    </xf>
    <xf numFmtId="37" fontId="9" fillId="0" borderId="0" xfId="0" applyNumberFormat="1" applyFont="1" applyFill="1" applyBorder="1" applyAlignment="1">
      <alignment vertical="center" wrapText="1"/>
    </xf>
    <xf numFmtId="37" fontId="26" fillId="0" borderId="0" xfId="6" applyNumberFormat="1" applyFont="1"/>
    <xf numFmtId="37" fontId="15" fillId="0" borderId="0" xfId="6" applyNumberFormat="1" applyFont="1" applyAlignment="1">
      <alignment wrapText="1"/>
    </xf>
    <xf numFmtId="5" fontId="9" fillId="0" borderId="0" xfId="0" applyNumberFormat="1" applyFont="1"/>
    <xf numFmtId="5" fontId="9" fillId="0" borderId="0" xfId="6" applyNumberFormat="1" applyFont="1"/>
    <xf numFmtId="5" fontId="9" fillId="2" borderId="0" xfId="6" applyNumberFormat="1" applyFont="1" applyFill="1" applyAlignment="1">
      <alignment horizontal="right"/>
    </xf>
    <xf numFmtId="5" fontId="9" fillId="0" borderId="0" xfId="6" applyNumberFormat="1" applyFont="1" applyFill="1" applyAlignment="1">
      <alignment horizontal="right"/>
    </xf>
    <xf numFmtId="5" fontId="15" fillId="0" borderId="0" xfId="6" applyNumberFormat="1" applyFont="1"/>
    <xf numFmtId="5" fontId="9" fillId="0" borderId="2" xfId="6" applyNumberFormat="1" applyFont="1" applyBorder="1" applyAlignment="1">
      <alignment horizontal="right"/>
    </xf>
    <xf numFmtId="5" fontId="9" fillId="0" borderId="0" xfId="6" applyNumberFormat="1" applyFont="1" applyBorder="1" applyAlignment="1">
      <alignment horizontal="right"/>
    </xf>
    <xf numFmtId="5" fontId="9" fillId="0" borderId="0" xfId="6" applyNumberFormat="1" applyFont="1" applyFill="1" applyBorder="1" applyAlignment="1">
      <alignment horizontal="right"/>
    </xf>
    <xf numFmtId="5" fontId="9" fillId="2" borderId="0" xfId="6" applyNumberFormat="1" applyFont="1" applyFill="1" applyBorder="1" applyAlignment="1">
      <alignment horizontal="right"/>
    </xf>
    <xf numFmtId="9" fontId="2" fillId="0" borderId="0" xfId="0" applyNumberFormat="1" applyFont="1" applyFill="1" applyBorder="1"/>
    <xf numFmtId="5" fontId="9" fillId="0" borderId="0" xfId="6" applyNumberFormat="1" applyFont="1" applyBorder="1" applyAlignment="1">
      <alignment horizontal="center"/>
    </xf>
    <xf numFmtId="0" fontId="24" fillId="0" borderId="0" xfId="0" applyFont="1" applyFill="1" applyAlignment="1">
      <alignment vertical="center" wrapText="1"/>
    </xf>
    <xf numFmtId="0" fontId="24" fillId="0" borderId="0" xfId="0" applyFont="1" applyFill="1" applyBorder="1" applyAlignment="1">
      <alignment vertical="center" wrapText="1"/>
    </xf>
    <xf numFmtId="3" fontId="2" fillId="0" borderId="0" xfId="0" applyNumberFormat="1" applyFont="1" applyFill="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37" fontId="9" fillId="0" borderId="0" xfId="6" applyNumberFormat="1" applyFont="1" applyBorder="1" applyAlignment="1">
      <alignment horizontal="center" vertical="top"/>
    </xf>
    <xf numFmtId="3" fontId="9" fillId="0" borderId="5" xfId="5" applyNumberFormat="1" applyFont="1" applyFill="1" applyBorder="1"/>
    <xf numFmtId="0" fontId="9" fillId="0" borderId="0" xfId="0" applyFont="1"/>
    <xf numFmtId="0" fontId="2" fillId="0" borderId="0" xfId="0" applyFont="1" applyFill="1" applyAlignment="1">
      <alignment wrapText="1"/>
    </xf>
    <xf numFmtId="3" fontId="2" fillId="0" borderId="0" xfId="0" applyNumberFormat="1" applyFont="1" applyFill="1" applyAlignment="1">
      <alignment wrapText="1"/>
    </xf>
    <xf numFmtId="3" fontId="9" fillId="0" borderId="0" xfId="5" applyNumberFormat="1" applyFont="1" applyFill="1"/>
    <xf numFmtId="0" fontId="24" fillId="0" borderId="0" xfId="0" applyFont="1" applyFill="1" applyAlignment="1">
      <alignment wrapText="1"/>
    </xf>
    <xf numFmtId="3" fontId="2" fillId="0" borderId="0" xfId="0" applyNumberFormat="1" applyFont="1" applyFill="1" applyAlignment="1">
      <alignment vertical="top" wrapText="1"/>
    </xf>
    <xf numFmtId="0" fontId="24" fillId="0" borderId="0" xfId="0" applyFont="1" applyFill="1" applyAlignment="1">
      <alignment vertical="top" wrapText="1"/>
    </xf>
    <xf numFmtId="3" fontId="2" fillId="0" borderId="0" xfId="0" applyNumberFormat="1" applyFont="1" applyFill="1" applyBorder="1" applyAlignment="1">
      <alignment horizontal="left" vertical="top"/>
    </xf>
    <xf numFmtId="3" fontId="8" fillId="0" borderId="0" xfId="0" applyNumberFormat="1" applyFont="1" applyFill="1" applyAlignment="1">
      <alignment horizontal="left" vertical="top"/>
    </xf>
    <xf numFmtId="3" fontId="9" fillId="4" borderId="0" xfId="4" applyNumberFormat="1" applyFont="1" applyFill="1" applyBorder="1" applyAlignment="1">
      <alignment horizontal="right"/>
    </xf>
    <xf numFmtId="3" fontId="9" fillId="4" borderId="0" xfId="4" applyNumberFormat="1" applyFont="1" applyFill="1" applyBorder="1"/>
    <xf numFmtId="3" fontId="17" fillId="4" borderId="0" xfId="4" applyNumberFormat="1" applyFont="1" applyFill="1" applyBorder="1"/>
    <xf numFmtId="3" fontId="9" fillId="4" borderId="0" xfId="4" applyNumberFormat="1" applyFont="1" applyFill="1" applyBorder="1" applyAlignment="1">
      <alignment horizontal="center"/>
    </xf>
    <xf numFmtId="3" fontId="9" fillId="0" borderId="6" xfId="4" applyNumberFormat="1" applyFont="1" applyFill="1" applyBorder="1" applyAlignment="1">
      <alignment horizontal="left"/>
    </xf>
    <xf numFmtId="0" fontId="5" fillId="0" borderId="0" xfId="0" applyFont="1" applyAlignment="1">
      <alignment wrapText="1"/>
    </xf>
    <xf numFmtId="165" fontId="9" fillId="0" borderId="5" xfId="0" applyNumberFormat="1" applyFont="1" applyFill="1" applyBorder="1"/>
    <xf numFmtId="3" fontId="2" fillId="0" borderId="0" xfId="0" applyNumberFormat="1" applyFont="1" applyFill="1" applyBorder="1" applyAlignment="1">
      <alignment horizontal="left" vertical="center" wrapText="1"/>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10" fontId="0" fillId="0" borderId="0" xfId="0" applyNumberFormat="1" applyAlignment="1">
      <alignment vertical="center"/>
    </xf>
    <xf numFmtId="0" fontId="9"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3"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vertical="center"/>
    </xf>
    <xf numFmtId="0" fontId="2" fillId="0" borderId="0" xfId="0" applyFont="1" applyFill="1" applyAlignment="1">
      <alignment horizontal="left"/>
    </xf>
    <xf numFmtId="3" fontId="2" fillId="0" borderId="0" xfId="0" applyNumberFormat="1" applyFont="1" applyFill="1" applyBorder="1" applyAlignment="1">
      <alignment horizontal="left" vertical="center"/>
    </xf>
    <xf numFmtId="3" fontId="9" fillId="0" borderId="0" xfId="4" applyNumberFormat="1" applyFont="1" applyFill="1" applyAlignment="1"/>
    <xf numFmtId="0" fontId="9" fillId="0" borderId="0" xfId="4" applyFont="1" applyFill="1" applyAlignment="1"/>
    <xf numFmtId="0" fontId="15" fillId="0" borderId="0" xfId="0" applyFont="1" applyFill="1" applyAlignment="1"/>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9" fillId="0" borderId="0" xfId="0" applyNumberFormat="1" applyFont="1" applyFill="1" applyAlignment="1">
      <alignment horizontal="right"/>
    </xf>
    <xf numFmtId="5" fontId="9" fillId="0" borderId="0" xfId="0" applyNumberFormat="1" applyFont="1" applyFill="1" applyAlignment="1">
      <alignment horizontal="right"/>
    </xf>
    <xf numFmtId="5" fontId="9" fillId="0" borderId="2" xfId="0" applyNumberFormat="1" applyFont="1" applyFill="1" applyBorder="1" applyAlignment="1">
      <alignment horizontal="right"/>
    </xf>
    <xf numFmtId="5" fontId="9" fillId="0" borderId="2" xfId="0" applyNumberFormat="1" applyFont="1" applyFill="1" applyBorder="1"/>
    <xf numFmtId="0" fontId="2" fillId="0" borderId="0" xfId="0" applyFont="1" applyFill="1" applyBorder="1" applyAlignment="1">
      <alignment vertical="center" wrapText="1"/>
    </xf>
    <xf numFmtId="3" fontId="2" fillId="0" borderId="0" xfId="0" applyNumberFormat="1" applyFont="1" applyFill="1" applyAlignment="1">
      <alignment vertical="center" wrapText="1"/>
    </xf>
    <xf numFmtId="3" fontId="5" fillId="0" borderId="0" xfId="0" applyNumberFormat="1" applyFont="1" applyFill="1" applyBorder="1" applyAlignment="1">
      <alignment vertical="center" wrapText="1"/>
    </xf>
    <xf numFmtId="37" fontId="9" fillId="0" borderId="0" xfId="6" applyNumberFormat="1" applyFont="1" applyAlignment="1">
      <alignment vertical="top"/>
    </xf>
    <xf numFmtId="166" fontId="9" fillId="0" borderId="0" xfId="1" applyNumberFormat="1" applyFont="1" applyAlignment="1">
      <alignment horizontal="right"/>
    </xf>
    <xf numFmtId="165" fontId="2" fillId="0" borderId="0" xfId="0" applyNumberFormat="1" applyFont="1" applyFill="1" applyBorder="1" applyAlignment="1"/>
    <xf numFmtId="0" fontId="1" fillId="0" borderId="0" xfId="0" applyFont="1" applyFill="1" applyAlignment="1"/>
    <xf numFmtId="0" fontId="9" fillId="0" borderId="7" xfId="0" applyFont="1" applyBorder="1" applyAlignment="1">
      <alignment horizontal="center" vertical="center"/>
    </xf>
    <xf numFmtId="165" fontId="9" fillId="0" borderId="2" xfId="4" applyNumberFormat="1" applyFont="1" applyFill="1" applyBorder="1"/>
    <xf numFmtId="10" fontId="5" fillId="3" borderId="0" xfId="7" applyNumberFormat="1" applyFont="1" applyFill="1"/>
    <xf numFmtId="5" fontId="5" fillId="3" borderId="0" xfId="7" applyNumberFormat="1" applyFont="1" applyFill="1"/>
    <xf numFmtId="0" fontId="5" fillId="0" borderId="0" xfId="0" applyFont="1" applyFill="1"/>
    <xf numFmtId="3" fontId="9" fillId="0" borderId="0" xfId="0" applyNumberFormat="1" applyFont="1"/>
    <xf numFmtId="3" fontId="9" fillId="0" borderId="1" xfId="0" applyNumberFormat="1" applyFont="1" applyBorder="1"/>
    <xf numFmtId="3" fontId="1" fillId="0" borderId="0" xfId="0" applyNumberFormat="1" applyFont="1" applyFill="1" applyAlignment="1"/>
    <xf numFmtId="3" fontId="4" fillId="0" borderId="1" xfId="0" applyNumberFormat="1" applyFont="1" applyFill="1" applyBorder="1" applyAlignment="1">
      <alignment horizontal="center"/>
    </xf>
    <xf numFmtId="5" fontId="2" fillId="0" borderId="0" xfId="0" applyNumberFormat="1" applyFont="1" applyFill="1" applyBorder="1"/>
    <xf numFmtId="37" fontId="2" fillId="0" borderId="5" xfId="0" applyNumberFormat="1" applyFont="1" applyFill="1" applyBorder="1"/>
    <xf numFmtId="166" fontId="9" fillId="0" borderId="0" xfId="1" applyNumberFormat="1" applyFont="1" applyFill="1" applyAlignment="1">
      <alignment horizontal="right"/>
    </xf>
    <xf numFmtId="37" fontId="2" fillId="0" borderId="0" xfId="1" applyNumberFormat="1" applyFont="1" applyFill="1"/>
    <xf numFmtId="37" fontId="9" fillId="0" borderId="0" xfId="0" applyNumberFormat="1" applyFont="1" applyFill="1"/>
    <xf numFmtId="37" fontId="9" fillId="0" borderId="5" xfId="0" applyNumberFormat="1" applyFont="1" applyFill="1" applyBorder="1"/>
    <xf numFmtId="37" fontId="9" fillId="0" borderId="1" xfId="0" applyNumberFormat="1" applyFont="1" applyFill="1" applyBorder="1"/>
    <xf numFmtId="37" fontId="9" fillId="0" borderId="0" xfId="0" applyNumberFormat="1" applyFont="1" applyFill="1" applyBorder="1"/>
    <xf numFmtId="37" fontId="9" fillId="0" borderId="0" xfId="5" applyNumberFormat="1" applyFont="1" applyFill="1"/>
    <xf numFmtId="37" fontId="9" fillId="0" borderId="5" xfId="5" applyNumberFormat="1" applyFont="1" applyFill="1" applyBorder="1"/>
    <xf numFmtId="37" fontId="9" fillId="0" borderId="0" xfId="5" applyNumberFormat="1" applyFont="1" applyFill="1" applyAlignment="1">
      <alignment horizontal="right"/>
    </xf>
    <xf numFmtId="37" fontId="9" fillId="0" borderId="0" xfId="5" applyNumberFormat="1" applyFont="1" applyFill="1" applyBorder="1"/>
    <xf numFmtId="5" fontId="9" fillId="0" borderId="0" xfId="5" applyNumberFormat="1" applyFont="1" applyFill="1" applyAlignment="1">
      <alignment horizontal="right"/>
    </xf>
    <xf numFmtId="5" fontId="9" fillId="0" borderId="0" xfId="0" applyNumberFormat="1" applyFont="1" applyFill="1" applyBorder="1"/>
    <xf numFmtId="37" fontId="2" fillId="0" borderId="0" xfId="0" applyNumberFormat="1" applyFont="1" applyFill="1" applyBorder="1" applyAlignment="1"/>
    <xf numFmtId="37" fontId="2" fillId="0" borderId="4" xfId="0" applyNumberFormat="1" applyFont="1" applyFill="1" applyBorder="1"/>
    <xf numFmtId="37" fontId="2" fillId="0" borderId="0" xfId="0" applyNumberFormat="1" applyFont="1" applyFill="1" applyBorder="1" applyAlignment="1">
      <alignment horizontal="center"/>
    </xf>
    <xf numFmtId="37" fontId="2" fillId="0" borderId="0" xfId="0" applyNumberFormat="1" applyFont="1" applyFill="1" applyAlignment="1">
      <alignment horizontal="center"/>
    </xf>
    <xf numFmtId="37" fontId="2" fillId="0" borderId="0" xfId="0" applyNumberFormat="1" applyFont="1" applyFill="1" applyAlignment="1"/>
    <xf numFmtId="37" fontId="2" fillId="0" borderId="0" xfId="0" applyNumberFormat="1" applyFont="1" applyFill="1" applyBorder="1" applyAlignment="1">
      <alignment horizontal="left"/>
    </xf>
    <xf numFmtId="37" fontId="2" fillId="0" borderId="1" xfId="0" applyNumberFormat="1" applyFont="1" applyFill="1" applyBorder="1"/>
    <xf numFmtId="5" fontId="2" fillId="0" borderId="0" xfId="0" applyNumberFormat="1" applyFont="1" applyFill="1" applyBorder="1" applyAlignment="1"/>
    <xf numFmtId="5" fontId="2" fillId="0" borderId="0" xfId="0" applyNumberFormat="1" applyFont="1" applyFill="1" applyBorder="1" applyAlignment="1">
      <alignment horizontal="right"/>
    </xf>
    <xf numFmtId="5" fontId="9" fillId="0" borderId="3" xfId="0" applyNumberFormat="1" applyFont="1" applyBorder="1"/>
    <xf numFmtId="5" fontId="9" fillId="0" borderId="2" xfId="0" applyNumberFormat="1" applyFont="1" applyBorder="1"/>
    <xf numFmtId="5" fontId="9" fillId="0" borderId="3" xfId="0" applyNumberFormat="1" applyFont="1" applyFill="1" applyBorder="1"/>
    <xf numFmtId="37" fontId="2" fillId="0" borderId="0" xfId="0" applyNumberFormat="1" applyFont="1" applyFill="1" applyAlignment="1">
      <alignment horizontal="left"/>
    </xf>
    <xf numFmtId="37" fontId="2" fillId="0" borderId="0" xfId="0" applyNumberFormat="1" applyFont="1" applyFill="1" applyAlignment="1">
      <alignment horizontal="right"/>
    </xf>
    <xf numFmtId="37" fontId="2" fillId="0" borderId="0" xfId="0" applyNumberFormat="1" applyFont="1" applyFill="1" applyBorder="1" applyAlignment="1">
      <alignment horizontal="right"/>
    </xf>
    <xf numFmtId="3" fontId="6" fillId="0" borderId="0" xfId="5" applyNumberFormat="1" applyFont="1" applyFill="1" applyAlignment="1"/>
    <xf numFmtId="166" fontId="2" fillId="0" borderId="0" xfId="1" applyNumberFormat="1" applyFont="1" applyFill="1" applyBorder="1"/>
    <xf numFmtId="3" fontId="5" fillId="0" borderId="0" xfId="0" applyNumberFormat="1" applyFont="1" applyFill="1" applyAlignment="1"/>
    <xf numFmtId="0" fontId="5" fillId="0" borderId="0" xfId="0" applyFont="1" applyFill="1" applyAlignment="1">
      <alignment horizontal="right"/>
    </xf>
    <xf numFmtId="3" fontId="5" fillId="0" borderId="0" xfId="0" applyNumberFormat="1" applyFont="1" applyFill="1" applyAlignment="1">
      <alignment horizontal="right"/>
    </xf>
    <xf numFmtId="0" fontId="5" fillId="0" borderId="0" xfId="8" applyFont="1" applyAlignment="1">
      <alignment vertical="center"/>
    </xf>
    <xf numFmtId="0" fontId="5" fillId="0" borderId="0" xfId="8" applyFont="1" applyAlignment="1">
      <alignment horizontal="right" vertical="center"/>
    </xf>
    <xf numFmtId="5" fontId="5" fillId="0" borderId="0" xfId="0" applyNumberFormat="1" applyFont="1" applyFill="1" applyAlignment="1">
      <alignment horizontal="right"/>
    </xf>
    <xf numFmtId="37" fontId="5" fillId="0" borderId="0" xfId="0" applyNumberFormat="1" applyFont="1" applyFill="1" applyAlignment="1">
      <alignment horizontal="right"/>
    </xf>
    <xf numFmtId="5" fontId="5" fillId="0" borderId="2" xfId="0" applyNumberFormat="1" applyFont="1" applyFill="1" applyBorder="1" applyAlignment="1">
      <alignment horizontal="right"/>
    </xf>
    <xf numFmtId="5" fontId="5" fillId="0" borderId="3" xfId="0" applyNumberFormat="1" applyFont="1" applyFill="1" applyBorder="1" applyAlignment="1">
      <alignment horizontal="right"/>
    </xf>
    <xf numFmtId="10" fontId="5" fillId="0" borderId="3" xfId="7" applyNumberFormat="1" applyFont="1" applyFill="1" applyBorder="1" applyAlignment="1">
      <alignment horizontal="right"/>
    </xf>
    <xf numFmtId="3" fontId="9" fillId="0" borderId="6" xfId="0" applyNumberFormat="1" applyFont="1" applyFill="1" applyBorder="1" applyAlignment="1">
      <alignment horizontal="center"/>
    </xf>
    <xf numFmtId="3" fontId="2" fillId="0" borderId="6" xfId="0" applyNumberFormat="1" applyFont="1" applyFill="1" applyBorder="1"/>
    <xf numFmtId="0" fontId="9" fillId="0" borderId="0" xfId="0" applyFont="1" applyAlignment="1"/>
    <xf numFmtId="0" fontId="5" fillId="3" borderId="0" xfId="0" applyFont="1" applyFill="1" applyAlignment="1"/>
    <xf numFmtId="3" fontId="8" fillId="0" borderId="6"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Alignment="1">
      <alignment horizontal="center"/>
    </xf>
    <xf numFmtId="37" fontId="3" fillId="0" borderId="0" xfId="6" applyNumberFormat="1" applyFont="1" applyAlignment="1"/>
    <xf numFmtId="3" fontId="1" fillId="0" borderId="0" xfId="0" applyNumberFormat="1" applyFont="1" applyFill="1" applyAlignment="1"/>
    <xf numFmtId="0" fontId="9" fillId="0" borderId="0" xfId="0" applyFont="1" applyFill="1" applyAlignment="1">
      <alignment horizontal="right"/>
    </xf>
    <xf numFmtId="0" fontId="15" fillId="0" borderId="0" xfId="0" applyFont="1" applyFill="1" applyAlignment="1">
      <alignment wrapText="1"/>
    </xf>
    <xf numFmtId="0" fontId="27" fillId="0" borderId="0" xfId="0" applyFont="1" applyAlignment="1">
      <alignment wrapText="1"/>
    </xf>
    <xf numFmtId="0" fontId="8" fillId="0" borderId="0" xfId="0" applyFont="1" applyFill="1"/>
    <xf numFmtId="0" fontId="5" fillId="0" borderId="0" xfId="0" applyFont="1" applyFill="1" applyAlignment="1"/>
    <xf numFmtId="165" fontId="9" fillId="0" borderId="0" xfId="5" applyNumberFormat="1" applyFont="1" applyFill="1" applyAlignment="1">
      <alignment horizontal="right"/>
    </xf>
    <xf numFmtId="165" fontId="9" fillId="0" borderId="0" xfId="5" applyNumberFormat="1" applyFont="1" applyFill="1" applyBorder="1"/>
    <xf numFmtId="165" fontId="9" fillId="0" borderId="0" xfId="0" applyNumberFormat="1" applyFont="1" applyFill="1" applyAlignment="1">
      <alignment horizontal="right"/>
    </xf>
    <xf numFmtId="3" fontId="2" fillId="0" borderId="0" xfId="2" applyNumberFormat="1" applyFont="1" applyFill="1" applyAlignment="1">
      <alignment horizontal="left"/>
    </xf>
    <xf numFmtId="3" fontId="2" fillId="0" borderId="0" xfId="2" applyNumberFormat="1" applyFont="1" applyFill="1"/>
    <xf numFmtId="3" fontId="1" fillId="0" borderId="0" xfId="2" applyNumberFormat="1" applyFont="1" applyFill="1" applyAlignment="1">
      <alignment horizontal="center"/>
    </xf>
    <xf numFmtId="3" fontId="1" fillId="0" borderId="0" xfId="2" applyNumberFormat="1" applyFont="1" applyFill="1"/>
    <xf numFmtId="3" fontId="1" fillId="0" borderId="0" xfId="2" applyNumberFormat="1" applyFont="1" applyFill="1" applyBorder="1" applyAlignment="1">
      <alignment horizontal="center"/>
    </xf>
    <xf numFmtId="0" fontId="9" fillId="0" borderId="0" xfId="2" applyFont="1" applyFill="1" applyBorder="1"/>
    <xf numFmtId="3" fontId="1" fillId="0" borderId="0" xfId="2" applyNumberFormat="1" applyFont="1" applyFill="1" applyBorder="1"/>
    <xf numFmtId="3" fontId="1" fillId="0" borderId="8" xfId="2" applyNumberFormat="1" applyFont="1" applyFill="1" applyBorder="1" applyAlignment="1">
      <alignment horizontal="center"/>
    </xf>
    <xf numFmtId="0" fontId="9" fillId="0" borderId="0" xfId="2" applyFont="1" applyFill="1"/>
    <xf numFmtId="3" fontId="1" fillId="0" borderId="8" xfId="2" applyNumberFormat="1" applyFont="1" applyFill="1" applyBorder="1" applyAlignment="1">
      <alignment horizontal="left"/>
    </xf>
    <xf numFmtId="3" fontId="8" fillId="0" borderId="0" xfId="2" applyNumberFormat="1" applyFont="1" applyFill="1"/>
    <xf numFmtId="3" fontId="8" fillId="0" borderId="0" xfId="2" applyNumberFormat="1" applyFont="1" applyFill="1" applyAlignment="1">
      <alignment horizontal="left"/>
    </xf>
    <xf numFmtId="3" fontId="9" fillId="0" borderId="0" xfId="2" applyNumberFormat="1" applyFont="1" applyFill="1" applyAlignment="1">
      <alignment horizontal="right"/>
    </xf>
    <xf numFmtId="3" fontId="9" fillId="0" borderId="0" xfId="2" applyNumberFormat="1" applyFont="1" applyFill="1" applyAlignment="1">
      <alignment horizontal="center"/>
    </xf>
    <xf numFmtId="3" fontId="8" fillId="0" borderId="0" xfId="2" applyNumberFormat="1" applyFont="1" applyFill="1" applyAlignment="1">
      <alignment horizontal="center"/>
    </xf>
    <xf numFmtId="3" fontId="8" fillId="0" borderId="6" xfId="2" applyNumberFormat="1" applyFont="1" applyFill="1" applyBorder="1" applyAlignment="1">
      <alignment horizontal="center"/>
    </xf>
    <xf numFmtId="3" fontId="9" fillId="0" borderId="0" xfId="2" applyNumberFormat="1" applyFont="1" applyFill="1" applyAlignment="1">
      <alignment horizontal="left"/>
    </xf>
    <xf numFmtId="5" fontId="9" fillId="0" borderId="0" xfId="2" applyNumberFormat="1" applyFont="1" applyFill="1" applyAlignment="1">
      <alignment horizontal="right"/>
    </xf>
    <xf numFmtId="5" fontId="9" fillId="0" borderId="0" xfId="2" applyNumberFormat="1" applyFont="1" applyFill="1"/>
    <xf numFmtId="37" fontId="9" fillId="0" borderId="0" xfId="2" applyNumberFormat="1" applyFont="1" applyFill="1" applyAlignment="1">
      <alignment horizontal="right"/>
    </xf>
    <xf numFmtId="37" fontId="9" fillId="0" borderId="0" xfId="2" applyNumberFormat="1" applyFont="1" applyFill="1"/>
    <xf numFmtId="3" fontId="9" fillId="0" borderId="1" xfId="2" applyNumberFormat="1" applyFont="1" applyFill="1" applyBorder="1" applyAlignment="1">
      <alignment horizontal="right"/>
    </xf>
    <xf numFmtId="5" fontId="9" fillId="0" borderId="2" xfId="2" applyNumberFormat="1" applyFont="1" applyFill="1" applyBorder="1"/>
    <xf numFmtId="10" fontId="9" fillId="0" borderId="0" xfId="2" applyNumberFormat="1" applyFont="1" applyFill="1" applyAlignment="1">
      <alignment horizontal="left"/>
    </xf>
    <xf numFmtId="165" fontId="9" fillId="0" borderId="3" xfId="2" applyNumberFormat="1" applyFont="1" applyFill="1" applyBorder="1"/>
    <xf numFmtId="10" fontId="9" fillId="0" borderId="3" xfId="2" applyNumberFormat="1" applyFont="1" applyFill="1" applyBorder="1"/>
    <xf numFmtId="3" fontId="2" fillId="0" borderId="0" xfId="2" applyNumberFormat="1" applyFont="1" applyFill="1" applyAlignment="1">
      <alignment horizontal="right"/>
    </xf>
    <xf numFmtId="10" fontId="9" fillId="0" borderId="0" xfId="2" applyNumberFormat="1" applyFont="1" applyFill="1" applyBorder="1"/>
    <xf numFmtId="37" fontId="4" fillId="0" borderId="0" xfId="0" applyNumberFormat="1" applyFont="1" applyFill="1" applyBorder="1" applyAlignment="1">
      <alignment horizontal="center"/>
    </xf>
    <xf numFmtId="37" fontId="4" fillId="0" borderId="0" xfId="0" applyNumberFormat="1" applyFont="1" applyFill="1" applyAlignment="1">
      <alignment horizontal="center"/>
    </xf>
    <xf numFmtId="3" fontId="8" fillId="0" borderId="0" xfId="0" applyNumberFormat="1" applyFont="1" applyFill="1" applyBorder="1" applyAlignment="1">
      <alignment horizontal="right"/>
    </xf>
    <xf numFmtId="0" fontId="9" fillId="0" borderId="0" xfId="0" applyFont="1" applyFill="1" applyAlignment="1">
      <alignment vertical="center"/>
    </xf>
    <xf numFmtId="0" fontId="9" fillId="0" borderId="0" xfId="0" applyFont="1" applyFill="1" applyAlignment="1">
      <alignment vertical="center" wrapText="1"/>
    </xf>
    <xf numFmtId="3" fontId="8" fillId="0" borderId="0" xfId="0" applyNumberFormat="1" applyFont="1" applyFill="1" applyAlignment="1">
      <alignment horizontal="left"/>
    </xf>
    <xf numFmtId="9" fontId="9" fillId="0" borderId="0" xfId="0" applyNumberFormat="1" applyFont="1" applyFill="1" applyBorder="1" applyAlignment="1">
      <alignment horizontal="left"/>
    </xf>
    <xf numFmtId="0" fontId="9" fillId="0" borderId="0" xfId="0" applyFont="1" applyFill="1" applyAlignment="1">
      <alignment wrapText="1"/>
    </xf>
    <xf numFmtId="0" fontId="1" fillId="0" borderId="0" xfId="0" applyFont="1"/>
    <xf numFmtId="0" fontId="9" fillId="0" borderId="0" xfId="0" quotePrefix="1" applyFont="1"/>
    <xf numFmtId="0" fontId="3" fillId="0" borderId="0" xfId="0" applyFont="1" applyFill="1"/>
    <xf numFmtId="37" fontId="8" fillId="0" borderId="0" xfId="0" applyNumberFormat="1" applyFont="1" applyAlignment="1"/>
    <xf numFmtId="37" fontId="9" fillId="0" borderId="0" xfId="6" applyNumberFormat="1" applyFont="1" applyBorder="1" applyAlignment="1">
      <alignment horizontal="center" wrapText="1"/>
    </xf>
    <xf numFmtId="3" fontId="8" fillId="0" borderId="0" xfId="5" applyNumberFormat="1" applyFont="1" applyFill="1" applyAlignment="1">
      <alignment horizontal="center"/>
    </xf>
    <xf numFmtId="3" fontId="8" fillId="0" borderId="0" xfId="5" applyNumberFormat="1" applyFont="1" applyFill="1" applyBorder="1" applyAlignment="1">
      <alignment horizontal="right"/>
    </xf>
    <xf numFmtId="3" fontId="18" fillId="0" borderId="0" xfId="0" applyNumberFormat="1" applyFont="1" applyFill="1"/>
    <xf numFmtId="3" fontId="8" fillId="0" borderId="0" xfId="0" applyNumberFormat="1" applyFont="1"/>
    <xf numFmtId="165" fontId="4" fillId="0" borderId="6" xfId="0" applyNumberFormat="1" applyFont="1" applyFill="1" applyBorder="1" applyAlignment="1">
      <alignment horizontal="right"/>
    </xf>
    <xf numFmtId="10" fontId="2" fillId="0" borderId="0" xfId="0" applyNumberFormat="1" applyFont="1" applyFill="1"/>
    <xf numFmtId="165" fontId="4" fillId="0" borderId="0" xfId="0" applyNumberFormat="1" applyFont="1" applyFill="1" applyAlignment="1">
      <alignment horizontal="right"/>
    </xf>
    <xf numFmtId="0" fontId="8" fillId="0" borderId="0" xfId="0" applyFont="1" applyFill="1" applyAlignment="1">
      <alignment horizontal="center"/>
    </xf>
    <xf numFmtId="0" fontId="8" fillId="0" borderId="0" xfId="3" applyFont="1" applyFill="1" applyBorder="1" applyAlignment="1">
      <alignment horizontal="center"/>
    </xf>
    <xf numFmtId="0" fontId="9" fillId="0" borderId="0" xfId="8" applyFont="1" applyAlignment="1">
      <alignment vertical="center"/>
    </xf>
    <xf numFmtId="0" fontId="5" fillId="3" borderId="0" xfId="0" applyFont="1" applyFill="1" applyAlignment="1"/>
    <xf numFmtId="3" fontId="9" fillId="0" borderId="0" xfId="4" applyNumberFormat="1" applyFont="1"/>
    <xf numFmtId="3" fontId="8" fillId="0" borderId="0" xfId="4" applyNumberFormat="1" applyFont="1"/>
    <xf numFmtId="0" fontId="8" fillId="0" borderId="0" xfId="0" applyFont="1" applyFill="1"/>
    <xf numFmtId="37" fontId="2" fillId="4" borderId="0" xfId="0" applyNumberFormat="1" applyFont="1" applyFill="1"/>
    <xf numFmtId="3" fontId="4" fillId="0" borderId="1" xfId="0" applyNumberFormat="1" applyFont="1" applyBorder="1" applyAlignment="1">
      <alignment horizontal="center"/>
    </xf>
    <xf numFmtId="5" fontId="9" fillId="0" borderId="0" xfId="9" applyNumberFormat="1" applyFont="1" applyBorder="1" applyAlignment="1">
      <alignment vertical="top"/>
    </xf>
    <xf numFmtId="3" fontId="9" fillId="5" borderId="0" xfId="0" applyNumberFormat="1" applyFont="1" applyFill="1"/>
    <xf numFmtId="5" fontId="9" fillId="5" borderId="0" xfId="9" applyNumberFormat="1" applyFont="1" applyFill="1" applyBorder="1" applyAlignment="1">
      <alignment vertical="top"/>
    </xf>
    <xf numFmtId="3" fontId="3" fillId="5" borderId="6" xfId="0" applyNumberFormat="1" applyFont="1" applyFill="1" applyBorder="1"/>
    <xf numFmtId="3" fontId="5" fillId="5" borderId="6" xfId="0" applyNumberFormat="1" applyFont="1" applyFill="1" applyBorder="1"/>
    <xf numFmtId="3" fontId="5" fillId="5" borderId="0" xfId="0" applyNumberFormat="1" applyFont="1" applyFill="1"/>
    <xf numFmtId="3" fontId="5" fillId="5" borderId="6" xfId="4" applyNumberFormat="1" applyFont="1" applyFill="1" applyBorder="1"/>
    <xf numFmtId="3" fontId="3" fillId="0" borderId="0" xfId="0" applyNumberFormat="1" applyFont="1" applyFill="1" applyBorder="1"/>
    <xf numFmtId="5" fontId="9" fillId="0" borderId="0" xfId="9" applyNumberFormat="1" applyFont="1" applyBorder="1" applyAlignment="1">
      <alignment horizontal="left" vertical="center"/>
    </xf>
    <xf numFmtId="5" fontId="9" fillId="0" borderId="0" xfId="9" applyNumberFormat="1" applyFont="1" applyBorder="1" applyAlignment="1">
      <alignment vertical="center"/>
    </xf>
    <xf numFmtId="0" fontId="9" fillId="0" borderId="0" xfId="0" applyFont="1" applyBorder="1" applyAlignment="1">
      <alignment horizontal="left"/>
    </xf>
    <xf numFmtId="0" fontId="9" fillId="0" borderId="0" xfId="0" applyFont="1" applyBorder="1"/>
    <xf numFmtId="0" fontId="8" fillId="0" borderId="0" xfId="0" applyFont="1" applyBorder="1"/>
    <xf numFmtId="37" fontId="9" fillId="0" borderId="0" xfId="9" applyNumberFormat="1" applyFont="1" applyBorder="1" applyAlignment="1">
      <alignment horizontal="left" vertical="center"/>
    </xf>
    <xf numFmtId="37" fontId="9" fillId="0" borderId="0" xfId="9" applyNumberFormat="1" applyFont="1" applyBorder="1" applyAlignment="1">
      <alignment horizontal="center" vertical="center"/>
    </xf>
    <xf numFmtId="0" fontId="9" fillId="0" borderId="0" xfId="0" applyFont="1" applyBorder="1" applyAlignment="1">
      <alignment horizontal="center" vertical="center"/>
    </xf>
    <xf numFmtId="37" fontId="9" fillId="0" borderId="0" xfId="9" applyNumberFormat="1" applyFont="1" applyBorder="1" applyAlignment="1">
      <alignment vertical="center"/>
    </xf>
    <xf numFmtId="5" fontId="9" fillId="0" borderId="0" xfId="9" applyNumberFormat="1" applyFont="1" applyBorder="1" applyAlignment="1">
      <alignment horizontal="left" vertical="center" indent="2"/>
    </xf>
    <xf numFmtId="3" fontId="5" fillId="0" borderId="0" xfId="0" applyNumberFormat="1" applyFont="1" applyFill="1" applyBorder="1"/>
    <xf numFmtId="0" fontId="9" fillId="0" borderId="0" xfId="0" applyNumberFormat="1" applyFont="1" applyBorder="1" applyAlignment="1">
      <alignment horizontal="right"/>
    </xf>
    <xf numFmtId="3" fontId="8" fillId="0" borderId="1" xfId="0" applyNumberFormat="1" applyFont="1" applyBorder="1" applyAlignment="1">
      <alignment horizontal="center"/>
    </xf>
    <xf numFmtId="3" fontId="8" fillId="0" borderId="1" xfId="0" applyNumberFormat="1" applyFont="1" applyFill="1" applyBorder="1" applyAlignment="1">
      <alignment horizontal="center"/>
    </xf>
    <xf numFmtId="3" fontId="2" fillId="0" borderId="0" xfId="0" applyNumberFormat="1" applyFont="1"/>
    <xf numFmtId="3" fontId="2" fillId="0" borderId="0" xfId="0" applyNumberFormat="1" applyFont="1" applyAlignment="1">
      <alignment horizontal="right"/>
    </xf>
    <xf numFmtId="3" fontId="2" fillId="0" borderId="0" xfId="0" applyNumberFormat="1" applyFont="1" applyAlignment="1">
      <alignment horizontal="left"/>
    </xf>
    <xf numFmtId="165" fontId="9" fillId="0" borderId="0" xfId="0" applyNumberFormat="1" applyFont="1" applyAlignment="1">
      <alignment horizontal="right"/>
    </xf>
    <xf numFmtId="3" fontId="9" fillId="0" borderId="0" xfId="0" applyNumberFormat="1" applyFont="1" applyAlignment="1">
      <alignment horizontal="right"/>
    </xf>
    <xf numFmtId="9" fontId="9" fillId="0" borderId="0" xfId="7" applyFont="1" applyFill="1"/>
    <xf numFmtId="3" fontId="5" fillId="0" borderId="0" xfId="4" applyNumberFormat="1" applyFont="1"/>
    <xf numFmtId="3" fontId="5" fillId="0" borderId="0" xfId="4" applyNumberFormat="1" applyFont="1" applyAlignment="1">
      <alignment horizontal="left"/>
    </xf>
    <xf numFmtId="165" fontId="5" fillId="0" borderId="0" xfId="0" applyNumberFormat="1" applyFont="1"/>
    <xf numFmtId="3" fontId="5" fillId="0" borderId="0" xfId="0" applyNumberFormat="1" applyFont="1"/>
    <xf numFmtId="3" fontId="9" fillId="0" borderId="0" xfId="5" applyNumberFormat="1" applyAlignment="1">
      <alignment horizontal="right"/>
    </xf>
    <xf numFmtId="165" fontId="9" fillId="0" borderId="0" xfId="2" applyNumberFormat="1" applyFont="1" applyFill="1"/>
    <xf numFmtId="165" fontId="9" fillId="0" borderId="0" xfId="4" applyNumberFormat="1" applyFont="1" applyFill="1"/>
    <xf numFmtId="5" fontId="9" fillId="0" borderId="0" xfId="0" applyNumberFormat="1" applyFont="1" applyAlignment="1">
      <alignment horizontal="right"/>
    </xf>
    <xf numFmtId="37" fontId="9" fillId="0" borderId="0" xfId="0" applyNumberFormat="1" applyFont="1" applyAlignment="1">
      <alignment horizontal="right"/>
    </xf>
    <xf numFmtId="165" fontId="9" fillId="0" borderId="3" xfId="0" applyNumberFormat="1" applyFont="1" applyFill="1" applyBorder="1"/>
    <xf numFmtId="3" fontId="8" fillId="0" borderId="0" xfId="0" applyNumberFormat="1" applyFont="1" applyFill="1" applyBorder="1" applyAlignment="1">
      <alignment horizontal="left"/>
    </xf>
    <xf numFmtId="3" fontId="8" fillId="0" borderId="0" xfId="0" quotePrefix="1" applyNumberFormat="1" applyFont="1" applyFill="1" applyBorder="1" applyAlignment="1">
      <alignment horizontal="center"/>
    </xf>
    <xf numFmtId="37" fontId="2" fillId="0" borderId="0" xfId="1" applyNumberFormat="1" applyFont="1" applyFill="1" applyBorder="1"/>
    <xf numFmtId="3" fontId="8" fillId="0" borderId="0" xfId="4" applyNumberFormat="1" applyFont="1" applyAlignment="1"/>
    <xf numFmtId="3" fontId="9" fillId="0" borderId="0" xfId="4" applyNumberFormat="1" applyFont="1" applyAlignment="1"/>
    <xf numFmtId="0" fontId="9" fillId="0" borderId="0" xfId="0" applyFont="1" applyAlignment="1"/>
    <xf numFmtId="37" fontId="3" fillId="0" borderId="0" xfId="6" applyNumberFormat="1" applyFont="1" applyAlignment="1"/>
    <xf numFmtId="3" fontId="1" fillId="0" borderId="0" xfId="0" applyNumberFormat="1" applyFont="1" applyFill="1" applyAlignment="1"/>
    <xf numFmtId="3" fontId="1" fillId="0" borderId="0" xfId="4" applyNumberFormat="1" applyFont="1" applyFill="1" applyAlignment="1"/>
    <xf numFmtId="0" fontId="0" fillId="0" borderId="0" xfId="0" applyAlignment="1"/>
    <xf numFmtId="0" fontId="30" fillId="0" borderId="0" xfId="0" applyFont="1" applyBorder="1" applyAlignment="1"/>
    <xf numFmtId="0" fontId="9" fillId="0" borderId="0" xfId="0" applyFont="1" applyAlignment="1"/>
    <xf numFmtId="0" fontId="5" fillId="0" borderId="0" xfId="0" applyFont="1" applyAlignment="1">
      <alignment vertical="center" wrapText="1"/>
    </xf>
    <xf numFmtId="0" fontId="5" fillId="0" borderId="0" xfId="0" applyFont="1" applyAlignment="1">
      <alignment horizontal="left" vertical="center" wrapText="1"/>
    </xf>
    <xf numFmtId="0" fontId="1" fillId="0" borderId="0" xfId="0" applyFont="1" applyAlignment="1"/>
    <xf numFmtId="0" fontId="11" fillId="0" borderId="0" xfId="0" applyFont="1" applyAlignment="1"/>
    <xf numFmtId="0" fontId="3" fillId="0" borderId="0" xfId="0" applyFont="1" applyFill="1" applyAlignment="1"/>
    <xf numFmtId="0" fontId="22" fillId="0" borderId="0" xfId="0" applyFont="1" applyAlignment="1"/>
    <xf numFmtId="0" fontId="5" fillId="3" borderId="0" xfId="0" applyFont="1" applyFill="1" applyAlignment="1">
      <alignment horizontal="center"/>
    </xf>
    <xf numFmtId="0" fontId="5" fillId="3" borderId="0" xfId="0" applyFont="1" applyFill="1" applyAlignment="1"/>
    <xf numFmtId="0" fontId="8" fillId="0" borderId="0" xfId="0" applyFont="1" applyAlignment="1">
      <alignment vertical="center" wrapText="1"/>
    </xf>
    <xf numFmtId="0" fontId="5" fillId="0" borderId="0" xfId="0" applyFont="1" applyFill="1" applyBorder="1" applyAlignment="1">
      <alignment vertical="center" wrapText="1"/>
    </xf>
    <xf numFmtId="0" fontId="18" fillId="0" borderId="0" xfId="0" applyFont="1" applyAlignment="1">
      <alignment vertical="center"/>
    </xf>
    <xf numFmtId="3" fontId="8" fillId="0" borderId="6" xfId="0" applyNumberFormat="1" applyFont="1" applyFill="1" applyBorder="1" applyAlignment="1">
      <alignment horizontal="center"/>
    </xf>
    <xf numFmtId="3" fontId="8" fillId="5" borderId="0" xfId="0" applyNumberFormat="1" applyFont="1" applyFill="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wrapText="1"/>
    </xf>
    <xf numFmtId="3" fontId="5" fillId="0" borderId="0" xfId="0" applyNumberFormat="1" applyFont="1" applyFill="1" applyBorder="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 fontId="1" fillId="0" borderId="0" xfId="0" applyNumberFormat="1" applyFont="1" applyFill="1" applyAlignment="1"/>
    <xf numFmtId="3" fontId="5" fillId="0" borderId="0" xfId="0" applyNumberFormat="1" applyFont="1" applyFill="1" applyAlignment="1">
      <alignment vertical="center" wrapText="1"/>
    </xf>
    <xf numFmtId="0" fontId="2" fillId="0" borderId="0" xfId="0" applyNumberFormat="1" applyFont="1" applyFill="1" applyAlignment="1"/>
    <xf numFmtId="0" fontId="9" fillId="0" borderId="0" xfId="0" applyFont="1" applyFill="1" applyAlignment="1">
      <alignment horizontal="right"/>
    </xf>
    <xf numFmtId="3" fontId="9" fillId="0" borderId="0" xfId="4" applyNumberFormat="1" applyFont="1"/>
    <xf numFmtId="3" fontId="8" fillId="0" borderId="0" xfId="4" applyNumberFormat="1" applyFont="1" applyAlignment="1"/>
    <xf numFmtId="3" fontId="9" fillId="0" borderId="0" xfId="4" applyNumberFormat="1" applyFont="1" applyFill="1" applyAlignment="1">
      <alignment wrapText="1"/>
    </xf>
    <xf numFmtId="0" fontId="15" fillId="0" borderId="0" xfId="0" applyFont="1" applyFill="1" applyAlignment="1">
      <alignment wrapText="1"/>
    </xf>
    <xf numFmtId="3" fontId="1" fillId="0" borderId="6" xfId="4" applyNumberFormat="1" applyFont="1" applyFill="1" applyBorder="1" applyAlignment="1">
      <alignment horizontal="center" wrapText="1"/>
    </xf>
    <xf numFmtId="0" fontId="21" fillId="0" borderId="6" xfId="0" applyFont="1" applyFill="1" applyBorder="1" applyAlignment="1">
      <alignment horizontal="center" wrapText="1"/>
    </xf>
    <xf numFmtId="3" fontId="9" fillId="0" borderId="0" xfId="4" quotePrefix="1" applyNumberFormat="1" applyFont="1" applyFill="1" applyAlignment="1">
      <alignment wrapText="1"/>
    </xf>
    <xf numFmtId="3" fontId="1" fillId="0" borderId="0" xfId="4" applyNumberFormat="1" applyFont="1" applyFill="1" applyAlignment="1"/>
    <xf numFmtId="0" fontId="5" fillId="0" borderId="0" xfId="0" applyFont="1" applyFill="1" applyAlignment="1">
      <alignment horizontal="left" vertical="center" wrapText="1"/>
    </xf>
    <xf numFmtId="0" fontId="5" fillId="0" borderId="0" xfId="0" applyFont="1" applyFill="1" applyAlignment="1">
      <alignment wrapText="1"/>
    </xf>
    <xf numFmtId="0" fontId="8" fillId="0" borderId="0" xfId="0" applyFont="1" applyFill="1"/>
    <xf numFmtId="3" fontId="5" fillId="0" borderId="0" xfId="0" applyNumberFormat="1" applyFont="1" applyFill="1" applyBorder="1" applyAlignment="1" applyProtection="1">
      <alignment vertical="center" wrapText="1"/>
      <protection locked="0"/>
    </xf>
    <xf numFmtId="0" fontId="5" fillId="0" borderId="0" xfId="0" applyFont="1" applyFill="1" applyAlignment="1">
      <alignment horizontal="left"/>
    </xf>
    <xf numFmtId="3" fontId="1" fillId="0" borderId="0" xfId="2" applyNumberFormat="1" applyFont="1"/>
  </cellXfs>
  <cellStyles count="10">
    <cellStyle name="Comma" xfId="1" builtinId="3"/>
    <cellStyle name="Normal" xfId="0" builtinId="0"/>
    <cellStyle name="Normal 2" xfId="2" xr:uid="{00000000-0005-0000-0000-000002000000}"/>
    <cellStyle name="Normal 5" xfId="9" xr:uid="{6206BAA6-086E-4C55-A6B0-7E9F93A4FD1A}"/>
    <cellStyle name="Normal_A-7 Optional Supplement Collection Schedule" xfId="6" xr:uid="{00000000-0005-0000-0000-000003000000}"/>
    <cellStyle name="Normal_Appendix A Exhibit 1 (2 Rate Example) apr 16 08" xfId="3" xr:uid="{00000000-0005-0000-0000-000004000000}"/>
    <cellStyle name="Normal_FCF_Schedule_2010(Rev. 9-16-09)" xfId="8" xr:uid="{7D96826F-A665-47C4-8C7D-EFF3C5465663}"/>
    <cellStyle name="Normal_Temp_Connected Data (Special Rate 1st Yr - 1 Rate)" xfId="4" xr:uid="{00000000-0005-0000-0000-000005000000}"/>
    <cellStyle name="Normal_Temp_Connected Data revision 2" xfId="5"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304800</xdr:colOff>
      <xdr:row>27</xdr:row>
      <xdr:rowOff>118110</xdr:rowOff>
    </xdr:from>
    <xdr:to>
      <xdr:col>8</xdr:col>
      <xdr:colOff>548640</xdr:colOff>
      <xdr:row>29</xdr:row>
      <xdr:rowOff>64770</xdr:rowOff>
    </xdr:to>
    <xdr:sp macro="" textlink="">
      <xdr:nvSpPr>
        <xdr:cNvPr id="3" name="Left Arrow 2" title="Start Here">
          <a:extLst>
            <a:ext uri="{FF2B5EF4-FFF2-40B4-BE49-F238E27FC236}">
              <a16:creationId xmlns:a16="http://schemas.microsoft.com/office/drawing/2014/main" id="{00000000-0008-0000-0000-000003000000}"/>
            </a:ext>
          </a:extLst>
        </xdr:cNvPr>
        <xdr:cNvSpPr/>
      </xdr:nvSpPr>
      <xdr:spPr>
        <a:xfrm>
          <a:off x="6000750" y="5499735"/>
          <a:ext cx="853440" cy="3467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197</xdr:row>
      <xdr:rowOff>0</xdr:rowOff>
    </xdr:from>
    <xdr:to>
      <xdr:col>21</xdr:col>
      <xdr:colOff>472450</xdr:colOff>
      <xdr:row>199</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7</xdr:col>
      <xdr:colOff>485775</xdr:colOff>
      <xdr:row>182</xdr:row>
      <xdr:rowOff>19050</xdr:rowOff>
    </xdr:from>
    <xdr:to>
      <xdr:col>8</xdr:col>
      <xdr:colOff>152400</xdr:colOff>
      <xdr:row>184</xdr:row>
      <xdr:rowOff>76200</xdr:rowOff>
    </xdr:to>
    <xdr:cxnSp macro="">
      <xdr:nvCxnSpPr>
        <xdr:cNvPr id="3" name="Straight Arrow Connector 2">
          <a:extLst>
            <a:ext uri="{FF2B5EF4-FFF2-40B4-BE49-F238E27FC236}">
              <a16:creationId xmlns:a16="http://schemas.microsoft.com/office/drawing/2014/main" id="{4985CBD6-73D8-8606-6E56-AFBE37218FDA}"/>
            </a:ext>
            <a:ext uri="{C183D7F6-B498-43B3-948B-1728B52AA6E4}">
              <adec:decorative xmlns:adec="http://schemas.microsoft.com/office/drawing/2017/decorative" val="1"/>
            </a:ext>
          </a:extLst>
        </xdr:cNvPr>
        <xdr:cNvCxnSpPr/>
      </xdr:nvCxnSpPr>
      <xdr:spPr>
        <a:xfrm>
          <a:off x="5743575" y="31432500"/>
          <a:ext cx="65722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31</xdr:row>
      <xdr:rowOff>7620</xdr:rowOff>
    </xdr:from>
    <xdr:to>
      <xdr:col>6</xdr:col>
      <xdr:colOff>457200</xdr:colOff>
      <xdr:row>34</xdr:row>
      <xdr:rowOff>9525</xdr:rowOff>
    </xdr:to>
    <xdr:cxnSp macro="">
      <xdr:nvCxnSpPr>
        <xdr:cNvPr id="2" name="Straight Arrow Connector 1" title="Move pool total to below cell G33">
          <a:extLst>
            <a:ext uri="{FF2B5EF4-FFF2-40B4-BE49-F238E27FC236}">
              <a16:creationId xmlns:a16="http://schemas.microsoft.com/office/drawing/2014/main" id="{456955BF-91AB-4CB0-835A-3EF7636CE3B1}"/>
            </a:ext>
          </a:extLst>
        </xdr:cNvPr>
        <xdr:cNvCxnSpPr/>
      </xdr:nvCxnSpPr>
      <xdr:spPr>
        <a:xfrm>
          <a:off x="4229100" y="5922645"/>
          <a:ext cx="0" cy="5829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8"/>
  <sheetViews>
    <sheetView tabSelected="1" zoomScaleNormal="100" workbookViewId="0">
      <pane ySplit="2" topLeftCell="A6" activePane="bottomLeft" state="frozen"/>
      <selection pane="bottomLeft" activeCell="B21" sqref="B21:L21"/>
    </sheetView>
  </sheetViews>
  <sheetFormatPr defaultRowHeight="15" x14ac:dyDescent="0.25"/>
  <cols>
    <col min="1" max="2" width="4.28515625" style="202" customWidth="1"/>
    <col min="3" max="3" width="36.42578125" style="202" customWidth="1"/>
    <col min="4" max="4" width="17" style="202" customWidth="1"/>
    <col min="5" max="5" width="5.140625" style="202" customWidth="1"/>
    <col min="6" max="8" width="9.140625" style="202"/>
    <col min="9" max="9" width="11" style="202" customWidth="1"/>
    <col min="10" max="16384" width="9.140625" style="202"/>
  </cols>
  <sheetData>
    <row r="2" spans="2:12" ht="18.75" x14ac:dyDescent="0.3">
      <c r="B2" s="424" t="s">
        <v>411</v>
      </c>
      <c r="C2" s="424"/>
      <c r="D2" s="424"/>
      <c r="E2" s="424"/>
      <c r="F2" s="424"/>
      <c r="G2" s="424"/>
      <c r="H2" s="424"/>
      <c r="I2" s="424"/>
      <c r="J2" s="424"/>
      <c r="K2" s="424"/>
      <c r="L2" s="124"/>
    </row>
    <row r="4" spans="2:12" x14ac:dyDescent="0.25">
      <c r="B4" s="425" t="s">
        <v>255</v>
      </c>
      <c r="C4" s="425"/>
    </row>
    <row r="5" spans="2:12" x14ac:dyDescent="0.25">
      <c r="C5" s="202" t="s">
        <v>417</v>
      </c>
    </row>
    <row r="6" spans="2:12" x14ac:dyDescent="0.25">
      <c r="C6" s="304" t="s">
        <v>407</v>
      </c>
      <c r="D6" s="304"/>
      <c r="E6" s="304"/>
      <c r="F6" s="304"/>
      <c r="G6" s="304"/>
      <c r="H6" s="304"/>
    </row>
    <row r="7" spans="2:12" x14ac:dyDescent="0.25">
      <c r="C7" s="304" t="s">
        <v>419</v>
      </c>
      <c r="D7" s="304"/>
      <c r="E7" s="304"/>
      <c r="F7" s="304"/>
      <c r="G7" s="304"/>
      <c r="H7" s="304"/>
    </row>
    <row r="8" spans="2:12" x14ac:dyDescent="0.25">
      <c r="C8" s="304" t="s">
        <v>408</v>
      </c>
      <c r="D8" s="304"/>
      <c r="E8" s="304"/>
      <c r="F8" s="304"/>
      <c r="G8" s="304"/>
      <c r="H8" s="304"/>
    </row>
    <row r="9" spans="2:12" x14ac:dyDescent="0.25">
      <c r="C9" s="304" t="s">
        <v>409</v>
      </c>
      <c r="D9" s="304"/>
      <c r="E9" s="304"/>
      <c r="F9" s="304"/>
      <c r="G9" s="304"/>
      <c r="H9" s="304"/>
    </row>
    <row r="10" spans="2:12" x14ac:dyDescent="0.25">
      <c r="C10" s="304" t="s">
        <v>410</v>
      </c>
      <c r="D10" s="304"/>
      <c r="E10" s="304"/>
      <c r="F10" s="304"/>
      <c r="G10" s="304"/>
      <c r="H10" s="304"/>
    </row>
    <row r="11" spans="2:12" x14ac:dyDescent="0.25">
      <c r="C11" s="304" t="s">
        <v>256</v>
      </c>
      <c r="D11" s="304"/>
      <c r="E11" s="304"/>
      <c r="F11" s="304"/>
      <c r="G11" s="304"/>
      <c r="H11" s="304"/>
    </row>
    <row r="12" spans="2:12" x14ac:dyDescent="0.25">
      <c r="C12" s="304" t="s">
        <v>257</v>
      </c>
      <c r="D12" s="304"/>
      <c r="E12" s="304"/>
      <c r="F12" s="304"/>
      <c r="G12" s="304"/>
      <c r="H12" s="304"/>
    </row>
    <row r="13" spans="2:12" x14ac:dyDescent="0.25">
      <c r="C13" s="304" t="s">
        <v>258</v>
      </c>
      <c r="D13" s="304"/>
      <c r="E13" s="304"/>
      <c r="F13" s="304"/>
      <c r="G13" s="304"/>
      <c r="H13" s="304"/>
    </row>
    <row r="14" spans="2:12" x14ac:dyDescent="0.25">
      <c r="C14" s="304" t="s">
        <v>418</v>
      </c>
      <c r="D14" s="304"/>
      <c r="E14" s="304"/>
      <c r="F14" s="304"/>
      <c r="G14" s="304"/>
      <c r="H14" s="304"/>
    </row>
    <row r="15" spans="2:12" x14ac:dyDescent="0.25">
      <c r="C15" s="304" t="s">
        <v>259</v>
      </c>
      <c r="D15" s="304"/>
      <c r="E15" s="304"/>
      <c r="F15" s="304"/>
      <c r="G15" s="304"/>
      <c r="H15" s="304"/>
    </row>
    <row r="16" spans="2:12" x14ac:dyDescent="0.25">
      <c r="C16" s="304" t="s">
        <v>412</v>
      </c>
      <c r="D16" s="304"/>
      <c r="E16" s="304"/>
      <c r="F16" s="304"/>
      <c r="G16" s="304"/>
      <c r="H16" s="304"/>
    </row>
    <row r="17" spans="1:15" x14ac:dyDescent="0.25">
      <c r="C17" s="304" t="s">
        <v>413</v>
      </c>
      <c r="D17" s="304"/>
      <c r="E17" s="304"/>
      <c r="F17" s="304"/>
      <c r="G17" s="304"/>
      <c r="H17" s="304"/>
    </row>
    <row r="18" spans="1:15" x14ac:dyDescent="0.25">
      <c r="C18" s="304" t="s">
        <v>414</v>
      </c>
      <c r="D18" s="304"/>
      <c r="E18" s="304"/>
      <c r="F18" s="304"/>
      <c r="G18" s="304"/>
      <c r="H18" s="304"/>
    </row>
    <row r="19" spans="1:15" x14ac:dyDescent="0.25">
      <c r="C19" s="304" t="s">
        <v>415</v>
      </c>
      <c r="D19" s="304"/>
      <c r="E19" s="304"/>
      <c r="F19" s="304"/>
      <c r="G19" s="304"/>
      <c r="H19" s="304"/>
    </row>
    <row r="21" spans="1:15" ht="18.75" x14ac:dyDescent="0.3">
      <c r="A21" s="124"/>
      <c r="B21" s="428" t="s">
        <v>282</v>
      </c>
      <c r="C21" s="428"/>
      <c r="D21" s="428"/>
      <c r="E21" s="428"/>
      <c r="F21" s="428"/>
      <c r="G21" s="428"/>
      <c r="H21" s="428"/>
      <c r="I21" s="428"/>
      <c r="J21" s="428"/>
      <c r="K21" s="428"/>
      <c r="L21" s="428"/>
      <c r="M21" s="1"/>
      <c r="N21" s="1"/>
      <c r="O21" s="1"/>
    </row>
    <row r="22" spans="1:15" ht="18.75" x14ac:dyDescent="0.3">
      <c r="C22" s="355"/>
    </row>
    <row r="23" spans="1:15" ht="20.25" x14ac:dyDescent="0.3">
      <c r="B23" s="429" t="s">
        <v>189</v>
      </c>
      <c r="C23" s="429"/>
      <c r="G23" s="304"/>
      <c r="H23" s="304"/>
      <c r="I23" s="304"/>
    </row>
    <row r="24" spans="1:15" x14ac:dyDescent="0.25">
      <c r="F24" s="304"/>
      <c r="H24" s="304"/>
      <c r="I24" s="304"/>
    </row>
    <row r="25" spans="1:15" ht="15.75" x14ac:dyDescent="0.25">
      <c r="A25" s="356"/>
      <c r="B25" s="430" t="s">
        <v>284</v>
      </c>
      <c r="C25" s="430"/>
      <c r="D25" s="430"/>
      <c r="E25" s="430"/>
      <c r="F25" s="430"/>
      <c r="G25" s="430"/>
      <c r="H25" s="430"/>
      <c r="I25" s="430"/>
      <c r="J25" s="430"/>
      <c r="K25" s="430"/>
      <c r="L25" s="430"/>
      <c r="M25" s="430"/>
    </row>
    <row r="26" spans="1:15" ht="15.75" x14ac:dyDescent="0.25">
      <c r="B26" s="67"/>
      <c r="C26" s="67"/>
      <c r="D26" s="67"/>
      <c r="E26" s="67"/>
      <c r="F26" s="67"/>
      <c r="G26" s="67"/>
      <c r="H26" s="67"/>
      <c r="I26" s="67"/>
      <c r="J26" s="67"/>
      <c r="K26" s="67"/>
    </row>
    <row r="27" spans="1:15" ht="15.75" x14ac:dyDescent="0.25">
      <c r="B27" s="73">
        <v>1</v>
      </c>
      <c r="C27" s="431" t="s">
        <v>262</v>
      </c>
      <c r="D27" s="431"/>
      <c r="E27" s="431"/>
      <c r="F27" s="431"/>
      <c r="G27" s="431"/>
      <c r="H27" s="431"/>
      <c r="I27" s="431"/>
      <c r="J27" s="67"/>
      <c r="K27" s="67"/>
    </row>
    <row r="28" spans="1:15" ht="15.75" x14ac:dyDescent="0.25">
      <c r="B28" s="67"/>
      <c r="C28" s="67"/>
      <c r="D28" s="67"/>
      <c r="E28" s="67"/>
      <c r="F28" s="67"/>
      <c r="G28" s="67"/>
      <c r="H28" s="67"/>
      <c r="I28" s="67"/>
      <c r="J28" s="67"/>
      <c r="K28" s="67"/>
    </row>
    <row r="29" spans="1:15" ht="15.75" x14ac:dyDescent="0.25">
      <c r="B29" s="67"/>
      <c r="C29" s="67" t="s">
        <v>199</v>
      </c>
      <c r="D29" s="370" t="s">
        <v>476</v>
      </c>
      <c r="E29" s="370"/>
      <c r="F29" s="370"/>
      <c r="G29" s="370"/>
      <c r="H29" s="315"/>
      <c r="I29" s="315"/>
      <c r="J29" s="357" t="s">
        <v>263</v>
      </c>
      <c r="K29" s="67"/>
    </row>
    <row r="30" spans="1:15" ht="15.75" x14ac:dyDescent="0.25">
      <c r="B30" s="67"/>
      <c r="C30" s="67" t="s">
        <v>399</v>
      </c>
      <c r="D30" s="305" t="s">
        <v>479</v>
      </c>
      <c r="E30" s="67"/>
      <c r="F30" s="315"/>
      <c r="G30" s="315"/>
      <c r="H30" s="315"/>
      <c r="I30" s="315"/>
      <c r="J30" s="67"/>
      <c r="K30" s="67"/>
    </row>
    <row r="31" spans="1:15" ht="15.75" x14ac:dyDescent="0.25">
      <c r="B31" s="67"/>
      <c r="C31" s="67" t="s">
        <v>546</v>
      </c>
      <c r="D31" s="151" t="s">
        <v>477</v>
      </c>
      <c r="E31" s="67"/>
      <c r="F31" s="67"/>
      <c r="G31" s="67"/>
      <c r="H31" s="67"/>
      <c r="I31" s="67"/>
      <c r="K31" s="67"/>
    </row>
    <row r="32" spans="1:15" ht="15.75" x14ac:dyDescent="0.25">
      <c r="B32" s="67"/>
      <c r="C32" s="67" t="s">
        <v>545</v>
      </c>
      <c r="D32" s="151" t="s">
        <v>478</v>
      </c>
      <c r="E32" s="67"/>
      <c r="F32" s="67"/>
      <c r="G32" s="67"/>
      <c r="H32" s="67"/>
      <c r="I32" s="67"/>
      <c r="K32" s="67"/>
    </row>
    <row r="33" spans="1:11" ht="15.75" x14ac:dyDescent="0.25">
      <c r="B33" s="67"/>
      <c r="C33" s="67"/>
      <c r="D33" s="256"/>
      <c r="E33" s="67"/>
      <c r="F33" s="67"/>
      <c r="G33" s="67"/>
      <c r="H33" s="67"/>
      <c r="I33" s="67"/>
      <c r="J33" s="67"/>
      <c r="K33" s="67"/>
    </row>
    <row r="34" spans="1:11" ht="15.75" x14ac:dyDescent="0.25">
      <c r="A34" s="432" t="str">
        <f>D31</f>
        <v>FY 2022</v>
      </c>
      <c r="B34" s="432"/>
      <c r="C34" s="67" t="s">
        <v>400</v>
      </c>
      <c r="D34" s="254">
        <v>0.4672</v>
      </c>
      <c r="E34" s="67"/>
      <c r="F34" s="67"/>
      <c r="G34" s="67"/>
      <c r="H34" s="67"/>
      <c r="I34" s="67"/>
      <c r="J34" s="67"/>
      <c r="K34" s="67"/>
    </row>
    <row r="35" spans="1:11" ht="15.75" x14ac:dyDescent="0.25">
      <c r="A35" s="433" t="str">
        <f>D30</f>
        <v>FY 2019</v>
      </c>
      <c r="B35" s="433"/>
      <c r="C35" s="67" t="s">
        <v>401</v>
      </c>
      <c r="D35" s="255">
        <v>-4575</v>
      </c>
      <c r="E35" s="67"/>
      <c r="F35" s="67"/>
      <c r="G35" s="67"/>
      <c r="H35" s="67"/>
      <c r="I35" s="67"/>
      <c r="J35" s="67"/>
      <c r="K35" s="67"/>
    </row>
    <row r="36" spans="1:11" ht="15.75" x14ac:dyDescent="0.25">
      <c r="B36" s="67"/>
      <c r="C36" s="67"/>
      <c r="D36" s="67"/>
      <c r="E36" s="67"/>
      <c r="F36" s="67"/>
      <c r="G36" s="67"/>
      <c r="H36" s="67"/>
      <c r="I36" s="67"/>
      <c r="J36" s="67"/>
      <c r="K36" s="67"/>
    </row>
    <row r="37" spans="1:11" ht="15.75" x14ac:dyDescent="0.25">
      <c r="B37" s="73">
        <v>2</v>
      </c>
      <c r="C37" s="74" t="s">
        <v>222</v>
      </c>
      <c r="D37" s="67"/>
      <c r="E37" s="67"/>
      <c r="F37" s="67"/>
      <c r="G37" s="67"/>
      <c r="H37" s="67"/>
      <c r="I37" s="67"/>
      <c r="J37" s="67"/>
      <c r="K37" s="67"/>
    </row>
    <row r="38" spans="1:11" ht="15.75" x14ac:dyDescent="0.25">
      <c r="B38" s="72"/>
      <c r="C38" s="67"/>
      <c r="D38" s="67"/>
      <c r="E38" s="67"/>
      <c r="F38" s="67"/>
      <c r="G38" s="67"/>
      <c r="H38" s="67"/>
      <c r="I38" s="67"/>
      <c r="J38" s="67"/>
      <c r="K38" s="67"/>
    </row>
    <row r="39" spans="1:11" ht="64.5" customHeight="1" x14ac:dyDescent="0.25">
      <c r="B39" s="72"/>
      <c r="C39" s="426" t="s">
        <v>402</v>
      </c>
      <c r="D39" s="426"/>
      <c r="E39" s="426"/>
      <c r="F39" s="426"/>
      <c r="G39" s="426"/>
      <c r="H39" s="426"/>
      <c r="I39" s="426"/>
      <c r="J39" s="67"/>
      <c r="K39" s="67"/>
    </row>
    <row r="40" spans="1:11" ht="15.75" x14ac:dyDescent="0.25">
      <c r="B40" s="72"/>
      <c r="C40" s="67"/>
      <c r="D40" s="67"/>
      <c r="E40" s="67"/>
      <c r="F40" s="67"/>
      <c r="G40" s="67"/>
      <c r="H40" s="67"/>
      <c r="I40" s="67"/>
      <c r="J40" s="67"/>
      <c r="K40" s="67"/>
    </row>
    <row r="41" spans="1:11" ht="15.75" x14ac:dyDescent="0.25">
      <c r="B41" s="73">
        <v>3</v>
      </c>
      <c r="C41" s="74" t="s">
        <v>260</v>
      </c>
      <c r="D41" s="67"/>
      <c r="E41" s="67"/>
      <c r="F41" s="67"/>
      <c r="G41" s="67"/>
      <c r="H41" s="67"/>
      <c r="I41" s="67"/>
      <c r="J41" s="67"/>
      <c r="K41" s="67"/>
    </row>
    <row r="42" spans="1:11" ht="15.75" x14ac:dyDescent="0.25">
      <c r="B42" s="72"/>
      <c r="C42" s="67"/>
      <c r="D42" s="67"/>
      <c r="E42" s="67"/>
      <c r="F42" s="67"/>
      <c r="G42" s="67"/>
      <c r="H42" s="67"/>
      <c r="I42" s="67"/>
      <c r="J42" s="67"/>
      <c r="K42" s="67"/>
    </row>
    <row r="43" spans="1:11" ht="50.25" customHeight="1" x14ac:dyDescent="0.25">
      <c r="B43" s="72"/>
      <c r="C43" s="426" t="s">
        <v>261</v>
      </c>
      <c r="D43" s="426"/>
      <c r="E43" s="426"/>
      <c r="F43" s="426"/>
      <c r="G43" s="426"/>
      <c r="H43" s="426"/>
      <c r="I43" s="426"/>
      <c r="J43" s="67"/>
      <c r="K43" s="67"/>
    </row>
    <row r="44" spans="1:11" ht="15.75" x14ac:dyDescent="0.25">
      <c r="B44" s="72"/>
      <c r="C44" s="216"/>
      <c r="D44" s="216"/>
      <c r="E44" s="216"/>
      <c r="F44" s="216"/>
      <c r="G44" s="216"/>
      <c r="H44" s="216"/>
      <c r="I44" s="216"/>
      <c r="J44" s="67"/>
      <c r="K44" s="67"/>
    </row>
    <row r="45" spans="1:11" ht="15.75" x14ac:dyDescent="0.25">
      <c r="B45" s="73">
        <v>4</v>
      </c>
      <c r="C45" s="75" t="s">
        <v>190</v>
      </c>
      <c r="D45" s="216"/>
      <c r="E45" s="216"/>
      <c r="F45" s="216"/>
      <c r="G45" s="216"/>
      <c r="H45" s="216"/>
      <c r="I45" s="216"/>
      <c r="J45" s="67"/>
      <c r="K45" s="67"/>
    </row>
    <row r="46" spans="1:11" ht="15.75" x14ac:dyDescent="0.25">
      <c r="B46" s="72"/>
      <c r="C46" s="67"/>
      <c r="D46" s="216"/>
      <c r="E46" s="216"/>
      <c r="F46" s="216"/>
      <c r="G46" s="216"/>
      <c r="H46" s="216"/>
      <c r="I46" s="216"/>
      <c r="J46" s="67"/>
      <c r="K46" s="67"/>
    </row>
    <row r="47" spans="1:11" ht="32.450000000000003" customHeight="1" x14ac:dyDescent="0.25">
      <c r="B47" s="72"/>
      <c r="C47" s="427" t="s">
        <v>223</v>
      </c>
      <c r="D47" s="427"/>
      <c r="E47" s="427"/>
      <c r="F47" s="427"/>
      <c r="G47" s="427"/>
      <c r="H47" s="427"/>
      <c r="I47" s="427"/>
      <c r="J47" s="67"/>
      <c r="K47" s="67"/>
    </row>
    <row r="48" spans="1:11" ht="14.25" customHeight="1" x14ac:dyDescent="0.25">
      <c r="B48" s="72"/>
      <c r="C48" s="216"/>
      <c r="D48" s="216"/>
      <c r="E48" s="216"/>
      <c r="F48" s="216"/>
      <c r="G48" s="216"/>
      <c r="H48" s="216"/>
      <c r="I48" s="216"/>
      <c r="J48" s="67"/>
      <c r="K48" s="67"/>
    </row>
  </sheetData>
  <customSheetViews>
    <customSheetView guid="{96FAF5F8-BD57-4EDE-AC8B-7E6854529246}" showRuler="0">
      <selection activeCell="C2" sqref="C2"/>
      <pageMargins left="0.75" right="0.75" top="1" bottom="1" header="0.5" footer="0.5"/>
      <pageSetup orientation="portrait" r:id="rId1"/>
      <headerFooter alignWithMargins="0"/>
    </customSheetView>
    <customSheetView guid="{EC77BDF0-E4AB-4C37-A286-B132C795CB0B}" showRuler="0">
      <selection activeCell="H15" sqref="H15"/>
      <pageMargins left="0.75" right="0.75" top="1" bottom="1" header="0.5" footer="0.5"/>
      <headerFooter alignWithMargins="0"/>
    </customSheetView>
    <customSheetView guid="{55322F06-EF2B-4EBF-91FC-6C830D0D22C9}" showRuler="0">
      <selection activeCell="L11" sqref="L11"/>
      <pageMargins left="0.75" right="0.75" top="1" bottom="1" header="0.5" footer="0.5"/>
      <headerFooter alignWithMargins="0"/>
    </customSheetView>
  </customSheetViews>
  <mergeCells count="11">
    <mergeCell ref="B2:K2"/>
    <mergeCell ref="B4:C4"/>
    <mergeCell ref="C39:I39"/>
    <mergeCell ref="C43:I43"/>
    <mergeCell ref="C47:I47"/>
    <mergeCell ref="B21:L21"/>
    <mergeCell ref="B23:C23"/>
    <mergeCell ref="B25:M25"/>
    <mergeCell ref="C27:I27"/>
    <mergeCell ref="A34:B34"/>
    <mergeCell ref="A35:B35"/>
  </mergeCells>
  <phoneticPr fontId="7" type="noConversion"/>
  <pageMargins left="0.5" right="0.5" top="1" bottom="1" header="0.5" footer="0.5"/>
  <pageSetup scale="68"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3"/>
  <sheetViews>
    <sheetView zoomScaleNormal="100" workbookViewId="0">
      <pane ySplit="4" topLeftCell="A5" activePane="bottomLeft" state="frozen"/>
      <selection pane="bottomLeft" activeCell="A2" sqref="A2:C2"/>
    </sheetView>
  </sheetViews>
  <sheetFormatPr defaultColWidth="9.140625" defaultRowHeight="15" x14ac:dyDescent="0.25"/>
  <cols>
    <col min="1" max="1" width="28" style="41" customWidth="1"/>
    <col min="2" max="2" width="3.7109375" style="41" customWidth="1"/>
    <col min="3" max="3" width="16" style="41" customWidth="1"/>
    <col min="4" max="4" width="17" style="41" customWidth="1"/>
    <col min="5" max="5" width="51.42578125" style="41" bestFit="1" customWidth="1"/>
    <col min="6" max="16384" width="9.140625" style="41"/>
  </cols>
  <sheetData>
    <row r="1" spans="1:6" ht="18.75" x14ac:dyDescent="0.3">
      <c r="A1" s="422" t="str">
        <f>'start here-do not delete'!D29</f>
        <v>Sample Tribe</v>
      </c>
      <c r="B1" s="422"/>
      <c r="C1" s="422"/>
      <c r="E1" s="141" t="s">
        <v>192</v>
      </c>
    </row>
    <row r="2" spans="1:6" ht="18.75" x14ac:dyDescent="0.3">
      <c r="A2" s="456" t="s">
        <v>254</v>
      </c>
      <c r="B2" s="456"/>
      <c r="C2" s="456"/>
      <c r="E2" s="141"/>
    </row>
    <row r="3" spans="1:6" x14ac:dyDescent="0.25">
      <c r="A3" s="202" t="s">
        <v>463</v>
      </c>
      <c r="B3" s="77"/>
    </row>
    <row r="4" spans="1:6" x14ac:dyDescent="0.25">
      <c r="A4" s="76"/>
      <c r="B4" s="77"/>
    </row>
    <row r="5" spans="1:6" ht="18.75" x14ac:dyDescent="0.3">
      <c r="A5" s="158" t="s">
        <v>211</v>
      </c>
      <c r="B5" s="130"/>
      <c r="C5" s="130"/>
      <c r="D5" s="130"/>
      <c r="E5" s="158" t="str">
        <f>'start here-do not delete'!D31</f>
        <v>FY 2022</v>
      </c>
      <c r="F5" s="65"/>
    </row>
    <row r="6" spans="1:6" s="43" customFormat="1" ht="15.75" x14ac:dyDescent="0.25">
      <c r="A6" s="142"/>
      <c r="B6" s="142"/>
      <c r="C6" s="142"/>
      <c r="D6" s="142"/>
      <c r="E6" s="142"/>
      <c r="F6" s="142"/>
    </row>
    <row r="7" spans="1:6" s="43" customFormat="1" ht="15.75" x14ac:dyDescent="0.25">
      <c r="A7" s="142"/>
      <c r="B7" s="142"/>
      <c r="C7" s="142"/>
      <c r="D7" s="142" t="s">
        <v>325</v>
      </c>
      <c r="E7" s="142"/>
      <c r="F7" s="142"/>
    </row>
    <row r="8" spans="1:6" s="43" customFormat="1" ht="16.5" thickBot="1" x14ac:dyDescent="0.3">
      <c r="A8" s="143" t="s">
        <v>174</v>
      </c>
      <c r="B8" s="144"/>
      <c r="C8" s="143" t="s">
        <v>5</v>
      </c>
      <c r="D8" s="143" t="s">
        <v>0</v>
      </c>
      <c r="E8" s="143" t="s">
        <v>175</v>
      </c>
      <c r="F8" s="142"/>
    </row>
    <row r="9" spans="1:6" ht="15.75" x14ac:dyDescent="0.25">
      <c r="A9" s="65"/>
      <c r="B9" s="65"/>
      <c r="C9" s="65"/>
      <c r="D9" s="65"/>
      <c r="E9" s="65"/>
      <c r="F9" s="65"/>
    </row>
    <row r="10" spans="1:6" ht="15.75" x14ac:dyDescent="0.25">
      <c r="A10" s="404" t="s">
        <v>176</v>
      </c>
      <c r="B10" s="405"/>
      <c r="C10" s="406">
        <v>2345</v>
      </c>
      <c r="D10" s="145">
        <v>2345</v>
      </c>
      <c r="E10" s="65" t="s">
        <v>239</v>
      </c>
      <c r="F10" s="65"/>
    </row>
    <row r="11" spans="1:6" ht="15.75" x14ac:dyDescent="0.25">
      <c r="A11" s="404"/>
      <c r="B11" s="404"/>
      <c r="C11" s="407"/>
      <c r="D11" s="65"/>
      <c r="E11" s="65"/>
      <c r="F11" s="65"/>
    </row>
    <row r="12" spans="1:6" ht="15.75" x14ac:dyDescent="0.25">
      <c r="A12" s="404" t="s">
        <v>240</v>
      </c>
      <c r="B12" s="404"/>
      <c r="C12" s="407">
        <v>8500</v>
      </c>
      <c r="D12" s="65">
        <v>8500</v>
      </c>
      <c r="E12" s="65" t="s">
        <v>177</v>
      </c>
      <c r="F12" s="65"/>
    </row>
    <row r="13" spans="1:6" ht="15.75" x14ac:dyDescent="0.25">
      <c r="A13" s="65"/>
      <c r="B13" s="65"/>
      <c r="C13" s="65"/>
      <c r="D13" s="65"/>
      <c r="E13" s="65"/>
      <c r="F13" s="65"/>
    </row>
    <row r="14" spans="1:6" ht="15.75" x14ac:dyDescent="0.25">
      <c r="A14" s="65"/>
      <c r="B14" s="65"/>
      <c r="C14" s="65"/>
      <c r="D14" s="65"/>
      <c r="E14" s="65"/>
      <c r="F14" s="65"/>
    </row>
    <row r="15" spans="1:6" ht="15.75" x14ac:dyDescent="0.25">
      <c r="A15" s="65"/>
      <c r="B15" s="65"/>
      <c r="C15" s="66"/>
      <c r="D15" s="66"/>
      <c r="E15" s="66"/>
      <c r="F15" s="65"/>
    </row>
    <row r="16" spans="1:6" ht="15.75" x14ac:dyDescent="0.25">
      <c r="A16" s="65"/>
      <c r="B16" s="65"/>
      <c r="C16" s="66"/>
      <c r="D16" s="66"/>
      <c r="E16" s="66"/>
      <c r="F16" s="65"/>
    </row>
    <row r="17" spans="1:6" ht="15.75" x14ac:dyDescent="0.25">
      <c r="A17" s="65"/>
      <c r="B17" s="65"/>
      <c r="C17" s="66"/>
      <c r="D17" s="65"/>
      <c r="E17" s="65"/>
      <c r="F17" s="65"/>
    </row>
    <row r="18" spans="1:6" ht="16.5" thickBot="1" x14ac:dyDescent="0.3">
      <c r="A18" s="65" t="s">
        <v>5</v>
      </c>
      <c r="B18" s="146"/>
      <c r="C18" s="147">
        <f>SUM(C10:C17)</f>
        <v>10845</v>
      </c>
      <c r="D18" s="147">
        <f>SUM(D10:D17)</f>
        <v>10845</v>
      </c>
      <c r="E18" s="65" t="s">
        <v>178</v>
      </c>
      <c r="F18" s="65"/>
    </row>
    <row r="19" spans="1:6" ht="16.5" thickTop="1" x14ac:dyDescent="0.25">
      <c r="A19" s="65"/>
      <c r="B19" s="65"/>
      <c r="C19" s="65"/>
      <c r="D19" s="65"/>
      <c r="E19" s="65"/>
      <c r="F19" s="65"/>
    </row>
    <row r="20" spans="1:6" ht="15.75" x14ac:dyDescent="0.25">
      <c r="A20" s="65"/>
      <c r="B20" s="65"/>
      <c r="C20" s="65"/>
      <c r="D20" s="65"/>
      <c r="E20" s="65"/>
      <c r="F20" s="65"/>
    </row>
    <row r="21" spans="1:6" ht="18.75" x14ac:dyDescent="0.3">
      <c r="A21" s="158" t="s">
        <v>211</v>
      </c>
      <c r="B21" s="130"/>
      <c r="C21" s="130"/>
      <c r="D21" s="130"/>
      <c r="E21" s="158" t="str">
        <f>'start here-do not delete'!D32</f>
        <v>FY 2025</v>
      </c>
      <c r="F21" s="65"/>
    </row>
    <row r="22" spans="1:6" ht="15.75" x14ac:dyDescent="0.25">
      <c r="A22" s="142"/>
      <c r="B22" s="65"/>
      <c r="C22" s="65"/>
      <c r="D22" s="65"/>
      <c r="E22" s="65"/>
      <c r="F22" s="65"/>
    </row>
    <row r="23" spans="1:6" ht="15.75" x14ac:dyDescent="0.25">
      <c r="A23" s="142"/>
      <c r="B23" s="65"/>
      <c r="C23" s="65"/>
      <c r="D23" s="142" t="s">
        <v>325</v>
      </c>
      <c r="E23" s="65"/>
      <c r="F23" s="65"/>
    </row>
    <row r="24" spans="1:6" ht="16.5" thickBot="1" x14ac:dyDescent="0.3">
      <c r="A24" s="143" t="s">
        <v>174</v>
      </c>
      <c r="B24" s="148"/>
      <c r="C24" s="143" t="s">
        <v>5</v>
      </c>
      <c r="D24" s="143" t="s">
        <v>0</v>
      </c>
      <c r="E24" s="143" t="s">
        <v>175</v>
      </c>
      <c r="F24" s="65"/>
    </row>
    <row r="25" spans="1:6" ht="15.75" x14ac:dyDescent="0.25">
      <c r="A25" s="65"/>
      <c r="B25" s="65"/>
      <c r="C25" s="65"/>
      <c r="D25" s="65"/>
      <c r="E25" s="65"/>
      <c r="F25" s="65"/>
    </row>
    <row r="26" spans="1:6" ht="15.75" x14ac:dyDescent="0.25">
      <c r="A26" s="65" t="s">
        <v>176</v>
      </c>
      <c r="B26" s="65"/>
      <c r="C26" s="406">
        <v>2500</v>
      </c>
      <c r="D26" s="406">
        <v>2500</v>
      </c>
      <c r="E26" s="65" t="s">
        <v>241</v>
      </c>
      <c r="F26" s="65"/>
    </row>
    <row r="27" spans="1:6" ht="15.75" x14ac:dyDescent="0.25">
      <c r="A27" s="65"/>
      <c r="B27" s="65"/>
      <c r="C27" s="407"/>
      <c r="D27" s="407"/>
      <c r="E27" s="65"/>
      <c r="F27" s="65"/>
    </row>
    <row r="28" spans="1:6" ht="15.75" x14ac:dyDescent="0.25">
      <c r="A28" s="65" t="s">
        <v>240</v>
      </c>
      <c r="B28" s="65"/>
      <c r="C28" s="407">
        <v>10000</v>
      </c>
      <c r="D28" s="407">
        <v>10000</v>
      </c>
      <c r="E28" s="65" t="s">
        <v>177</v>
      </c>
      <c r="F28" s="65"/>
    </row>
    <row r="29" spans="1:6" ht="15.75" x14ac:dyDescent="0.25">
      <c r="A29" s="65"/>
      <c r="B29" s="65"/>
      <c r="C29" s="65"/>
      <c r="D29" s="65"/>
      <c r="E29" s="65"/>
      <c r="F29" s="65"/>
    </row>
    <row r="30" spans="1:6" ht="15.75" x14ac:dyDescent="0.25">
      <c r="A30" s="65"/>
      <c r="B30" s="65"/>
      <c r="C30" s="65"/>
      <c r="D30" s="65"/>
      <c r="E30" s="65"/>
      <c r="F30" s="65"/>
    </row>
    <row r="31" spans="1:6" ht="15.75" x14ac:dyDescent="0.25">
      <c r="A31" s="65"/>
      <c r="B31" s="65"/>
      <c r="C31" s="65"/>
      <c r="D31" s="65"/>
      <c r="E31" s="65"/>
      <c r="F31" s="65"/>
    </row>
    <row r="32" spans="1:6" ht="15.75" x14ac:dyDescent="0.25">
      <c r="A32" s="65"/>
      <c r="B32" s="65"/>
      <c r="C32" s="65"/>
      <c r="D32" s="65"/>
      <c r="E32" s="65"/>
      <c r="F32" s="65"/>
    </row>
    <row r="33" spans="1:6" ht="15.75" x14ac:dyDescent="0.25">
      <c r="A33" s="65"/>
      <c r="B33" s="65"/>
      <c r="C33" s="65"/>
      <c r="D33" s="65"/>
      <c r="E33" s="65"/>
      <c r="F33" s="65"/>
    </row>
    <row r="34" spans="1:6" ht="16.5" thickBot="1" x14ac:dyDescent="0.3">
      <c r="A34" s="65" t="s">
        <v>5</v>
      </c>
      <c r="B34" s="65"/>
      <c r="C34" s="147">
        <f>SUM(C26:C33)</f>
        <v>12500</v>
      </c>
      <c r="D34" s="147">
        <f>SUM(D26:D33)</f>
        <v>12500</v>
      </c>
      <c r="E34" s="65" t="s">
        <v>179</v>
      </c>
      <c r="F34" s="65"/>
    </row>
    <row r="35" spans="1:6" ht="16.5" thickTop="1" x14ac:dyDescent="0.25">
      <c r="A35" s="65"/>
      <c r="B35" s="65"/>
      <c r="C35" s="65"/>
      <c r="D35" s="65"/>
      <c r="E35" s="65"/>
      <c r="F35" s="65"/>
    </row>
    <row r="36" spans="1:6" ht="15.75" x14ac:dyDescent="0.25">
      <c r="A36" s="65"/>
      <c r="B36" s="65"/>
      <c r="C36" s="65"/>
      <c r="D36" s="65"/>
      <c r="E36" s="65"/>
      <c r="F36" s="65"/>
    </row>
    <row r="37" spans="1:6" ht="15.75" x14ac:dyDescent="0.25">
      <c r="A37" s="65"/>
      <c r="B37" s="65"/>
      <c r="C37" s="65"/>
      <c r="D37" s="65"/>
      <c r="E37" s="65"/>
      <c r="F37" s="65"/>
    </row>
    <row r="38" spans="1:6" ht="15.75" x14ac:dyDescent="0.25">
      <c r="A38" s="65"/>
      <c r="B38" s="65"/>
      <c r="C38" s="65"/>
      <c r="D38" s="65"/>
      <c r="E38" s="65"/>
      <c r="F38" s="65"/>
    </row>
    <row r="39" spans="1:6" ht="15.75" x14ac:dyDescent="0.25">
      <c r="A39" s="65"/>
      <c r="B39" s="65"/>
      <c r="C39" s="65"/>
      <c r="D39" s="65"/>
      <c r="E39" s="65"/>
      <c r="F39" s="65"/>
    </row>
    <row r="40" spans="1:6" ht="15.75" x14ac:dyDescent="0.25">
      <c r="A40" s="65"/>
      <c r="B40" s="65"/>
      <c r="C40" s="65"/>
      <c r="D40" s="65"/>
      <c r="E40" s="65"/>
      <c r="F40" s="65"/>
    </row>
    <row r="41" spans="1:6" ht="15.75" x14ac:dyDescent="0.25">
      <c r="A41" s="65"/>
      <c r="B41" s="65"/>
      <c r="C41" s="65"/>
      <c r="D41" s="65"/>
      <c r="E41" s="65"/>
      <c r="F41" s="65"/>
    </row>
    <row r="42" spans="1:6" ht="15.75" x14ac:dyDescent="0.25">
      <c r="A42" s="65"/>
      <c r="B42" s="65"/>
      <c r="C42" s="65"/>
      <c r="D42" s="65"/>
      <c r="E42" s="65"/>
      <c r="F42" s="65"/>
    </row>
    <row r="43" spans="1:6" ht="15.75" x14ac:dyDescent="0.25">
      <c r="A43" s="65"/>
      <c r="B43" s="65"/>
      <c r="C43" s="65"/>
      <c r="D43" s="65"/>
      <c r="E43" s="65"/>
      <c r="F43" s="65"/>
    </row>
  </sheetData>
  <mergeCells count="1">
    <mergeCell ref="A2:C2"/>
  </mergeCells>
  <phoneticPr fontId="0" type="noConversion"/>
  <printOptions headings="1"/>
  <pageMargins left="0.45" right="0.45" top="1" bottom="0.75" header="0.3" footer="0.3"/>
  <pageSetup scale="82" orientation="portrait" r:id="rId1"/>
  <headerFooter>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cols>
    <col min="1" max="4" width="9.140625" style="202"/>
    <col min="5" max="5" width="10.5703125" style="202" customWidth="1"/>
    <col min="6" max="16384" width="9.140625" style="202"/>
  </cols>
  <sheetData>
    <row r="1" spans="1:9" x14ac:dyDescent="0.25">
      <c r="A1" s="419" t="str">
        <f>'start here-do not delete'!D29</f>
        <v>Sample Tribe</v>
      </c>
      <c r="B1" s="419"/>
      <c r="C1" s="419"/>
      <c r="D1" s="419"/>
      <c r="I1" s="202" t="s">
        <v>231</v>
      </c>
    </row>
    <row r="2" spans="1:9" x14ac:dyDescent="0.25">
      <c r="A2" s="202" t="str">
        <f>'start here-do not delete'!D31</f>
        <v>FY 2022</v>
      </c>
      <c r="B2" s="304" t="s">
        <v>230</v>
      </c>
      <c r="C2" s="304"/>
      <c r="D2" s="304"/>
      <c r="E2" s="304"/>
    </row>
    <row r="3" spans="1:9" x14ac:dyDescent="0.25">
      <c r="A3" s="202" t="s">
        <v>465</v>
      </c>
    </row>
  </sheetData>
  <pageMargins left="0.45" right="0.45" top="1" bottom="0.75" header="0.3" footer="0.3"/>
  <pageSetup orientation="portrait" horizontalDpi="0" verticalDpi="0" r:id="rId1"/>
  <headerFooter>
    <oddFooter>&amp;L&amp;F&amp;C&amp;A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
  <sheetViews>
    <sheetView workbookViewId="0">
      <pane ySplit="5" topLeftCell="A6" activePane="bottomLeft" state="frozen"/>
      <selection pane="bottomLeft" activeCell="A2" sqref="A2"/>
    </sheetView>
  </sheetViews>
  <sheetFormatPr defaultRowHeight="15" x14ac:dyDescent="0.25"/>
  <sheetData>
    <row r="1" spans="1:9" x14ac:dyDescent="0.25">
      <c r="A1" s="423" t="str">
        <f>'start here-do not delete'!D29</f>
        <v>Sample Tribe</v>
      </c>
      <c r="B1" s="423"/>
      <c r="C1" s="423"/>
      <c r="D1" s="423"/>
      <c r="E1" s="423"/>
      <c r="I1" s="202" t="s">
        <v>237</v>
      </c>
    </row>
    <row r="2" spans="1:9" x14ac:dyDescent="0.25">
      <c r="A2" t="str">
        <f>'start here-do not delete'!D31</f>
        <v>FY 2022</v>
      </c>
      <c r="B2" s="304" t="s">
        <v>238</v>
      </c>
      <c r="C2" s="304"/>
      <c r="D2" s="304"/>
      <c r="E2" s="304"/>
      <c r="F2" s="304"/>
    </row>
    <row r="3" spans="1:9" ht="15" customHeight="1" x14ac:dyDescent="0.25">
      <c r="A3" s="304" t="s">
        <v>466</v>
      </c>
      <c r="B3" s="313"/>
      <c r="C3" s="313"/>
      <c r="D3" s="313"/>
      <c r="E3" s="313"/>
      <c r="F3" s="313"/>
      <c r="G3" s="313"/>
      <c r="H3" s="313"/>
      <c r="I3" s="313"/>
    </row>
    <row r="4" spans="1:9" x14ac:dyDescent="0.25">
      <c r="A4" s="313"/>
      <c r="B4" s="313"/>
      <c r="C4" s="313"/>
      <c r="D4" s="313"/>
      <c r="E4" s="313"/>
      <c r="F4" s="313"/>
      <c r="G4" s="313"/>
      <c r="H4" s="313"/>
      <c r="I4" s="313"/>
    </row>
    <row r="5" spans="1:9" ht="7.5" customHeight="1" x14ac:dyDescent="0.25"/>
  </sheetData>
  <pageMargins left="0.45" right="0.45" top="1" bottom="0.75" header="0.3" footer="0.3"/>
  <pageSetup orientation="portrait"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123B4-6BE1-4904-8C6D-5F1B8E9A315C}">
  <sheetPr>
    <pageSetUpPr fitToPage="1"/>
  </sheetPr>
  <dimension ref="A1:V60"/>
  <sheetViews>
    <sheetView zoomScaleNormal="100" workbookViewId="0">
      <pane ySplit="8" topLeftCell="A9" activePane="bottomLeft" state="frozen"/>
      <selection pane="bottomLeft" activeCell="K28" sqref="K28"/>
    </sheetView>
  </sheetViews>
  <sheetFormatPr defaultColWidth="9.140625" defaultRowHeight="12.75" x14ac:dyDescent="0.2"/>
  <cols>
    <col min="1" max="1" width="23.5703125" style="10" customWidth="1"/>
    <col min="2" max="2" width="2.5703125" style="10" customWidth="1"/>
    <col min="3" max="3" width="13.140625" style="10" customWidth="1"/>
    <col min="4" max="4" width="1.7109375" style="10" customWidth="1"/>
    <col min="5" max="5" width="11.7109375" style="10" customWidth="1"/>
    <col min="6" max="6" width="2.85546875" style="10" customWidth="1"/>
    <col min="7" max="7" width="11.85546875" style="10" customWidth="1"/>
    <col min="8" max="8" width="1.85546875" style="10" customWidth="1"/>
    <col min="9" max="9" width="13" style="10" customWidth="1"/>
    <col min="10" max="10" width="2.140625" style="10" customWidth="1"/>
    <col min="11" max="11" width="12.28515625" style="10" customWidth="1"/>
    <col min="12" max="12" width="1.7109375" style="10" customWidth="1"/>
    <col min="13" max="13" width="10.7109375" style="10" customWidth="1"/>
    <col min="14" max="14" width="1.28515625" style="10" customWidth="1"/>
    <col min="15" max="15" width="10.7109375" style="10" customWidth="1"/>
    <col min="16" max="16" width="1.28515625" style="12" customWidth="1"/>
    <col min="17" max="17" width="12.42578125" style="10" customWidth="1"/>
    <col min="18" max="18" width="2.85546875" style="10" customWidth="1"/>
    <col min="19" max="16384" width="9.140625" style="10"/>
  </cols>
  <sheetData>
    <row r="1" spans="1:22" ht="18.75" x14ac:dyDescent="0.3">
      <c r="A1" s="251" t="str">
        <f>'start here-do not delete'!D29</f>
        <v>Sample Tribe</v>
      </c>
      <c r="B1" s="251"/>
      <c r="C1" s="251"/>
      <c r="D1" s="251"/>
      <c r="E1" s="251"/>
      <c r="F1" s="117"/>
      <c r="G1" s="117"/>
      <c r="H1" s="117"/>
      <c r="I1" s="117"/>
      <c r="J1" s="117"/>
      <c r="K1" s="117"/>
      <c r="L1" s="117"/>
      <c r="M1" s="117"/>
      <c r="N1" s="117"/>
      <c r="O1" s="117"/>
      <c r="P1" s="64"/>
      <c r="Q1" s="100" t="s">
        <v>398</v>
      </c>
    </row>
    <row r="2" spans="1:22" s="119" customFormat="1" ht="18.75" customHeight="1" x14ac:dyDescent="0.3">
      <c r="A2" s="251" t="s">
        <v>312</v>
      </c>
      <c r="B2" s="251"/>
      <c r="D2" s="251"/>
      <c r="E2" s="251"/>
      <c r="F2" s="251"/>
      <c r="G2" s="118"/>
      <c r="H2" s="118"/>
      <c r="I2" s="118"/>
      <c r="J2" s="118"/>
      <c r="K2" s="118"/>
      <c r="L2" s="118"/>
      <c r="M2" s="118" t="s">
        <v>145</v>
      </c>
      <c r="N2" s="118"/>
      <c r="O2" s="118"/>
      <c r="P2" s="13"/>
      <c r="R2" s="124"/>
      <c r="S2" s="120"/>
    </row>
    <row r="3" spans="1:22" s="119" customFormat="1" ht="18.75" customHeight="1" x14ac:dyDescent="0.3">
      <c r="A3" s="78" t="s">
        <v>308</v>
      </c>
      <c r="B3" s="251"/>
      <c r="C3" s="251"/>
      <c r="D3" s="251"/>
      <c r="E3" s="251"/>
      <c r="F3" s="251"/>
      <c r="G3" s="118"/>
      <c r="H3" s="118"/>
      <c r="I3" s="118"/>
      <c r="J3" s="118"/>
      <c r="K3" s="118"/>
      <c r="L3" s="118"/>
      <c r="M3" s="118"/>
      <c r="N3" s="118"/>
      <c r="O3" s="118"/>
      <c r="P3" s="13"/>
      <c r="R3" s="124"/>
      <c r="S3" s="120"/>
    </row>
    <row r="4" spans="1:22" s="119" customFormat="1" ht="15" x14ac:dyDescent="0.25">
      <c r="C4" s="118"/>
      <c r="D4" s="118"/>
      <c r="E4" s="118"/>
      <c r="F4" s="118"/>
      <c r="G4" s="118"/>
      <c r="H4" s="118"/>
      <c r="J4" s="118"/>
      <c r="K4" s="118"/>
      <c r="L4" s="118"/>
      <c r="M4" s="118"/>
      <c r="N4" s="118"/>
      <c r="O4" s="118"/>
      <c r="P4" s="13"/>
      <c r="Q4" s="118"/>
      <c r="R4" s="124"/>
      <c r="S4" s="120"/>
    </row>
    <row r="5" spans="1:22" s="119" customFormat="1" ht="14.25" x14ac:dyDescent="0.2">
      <c r="A5" s="13"/>
      <c r="B5" s="118"/>
      <c r="C5" s="308" t="str">
        <f>'start here-do not delete'!D31</f>
        <v>FY 2022</v>
      </c>
      <c r="D5" s="118"/>
      <c r="E5" s="118"/>
      <c r="F5" s="154"/>
      <c r="G5" s="308" t="str">
        <f>C5</f>
        <v>FY 2022</v>
      </c>
      <c r="H5" s="118"/>
      <c r="I5" s="308" t="str">
        <f>C5</f>
        <v>FY 2022</v>
      </c>
      <c r="J5" s="154"/>
      <c r="K5" s="118" t="s">
        <v>0</v>
      </c>
      <c r="L5" s="118"/>
      <c r="P5" s="120"/>
      <c r="R5" s="314"/>
      <c r="S5" s="120"/>
    </row>
    <row r="6" spans="1:22" s="119" customFormat="1" ht="14.25" x14ac:dyDescent="0.2">
      <c r="A6" s="118"/>
      <c r="B6" s="118"/>
      <c r="C6" s="118" t="s">
        <v>309</v>
      </c>
      <c r="D6" s="118"/>
      <c r="E6" s="118" t="s">
        <v>2</v>
      </c>
      <c r="F6" s="154"/>
      <c r="G6" s="118" t="s">
        <v>0</v>
      </c>
      <c r="H6" s="118"/>
      <c r="I6" s="118" t="s">
        <v>297</v>
      </c>
      <c r="J6" s="154"/>
      <c r="K6" s="118" t="s">
        <v>27</v>
      </c>
      <c r="L6" s="118"/>
      <c r="M6" s="118" t="s">
        <v>146</v>
      </c>
      <c r="N6" s="118"/>
      <c r="O6" s="118" t="s">
        <v>147</v>
      </c>
      <c r="P6" s="13"/>
      <c r="Q6" s="118"/>
      <c r="R6" s="314"/>
      <c r="S6" s="120"/>
    </row>
    <row r="7" spans="1:22" s="119" customFormat="1" ht="15" thickBot="1" x14ac:dyDescent="0.25">
      <c r="A7" s="155" t="s">
        <v>4</v>
      </c>
      <c r="B7" s="155"/>
      <c r="C7" s="28" t="s">
        <v>310</v>
      </c>
      <c r="D7" s="28"/>
      <c r="E7" s="28" t="s">
        <v>5</v>
      </c>
      <c r="F7" s="156"/>
      <c r="G7" s="28" t="s">
        <v>6</v>
      </c>
      <c r="H7" s="28"/>
      <c r="I7" s="157">
        <f>'start here-do not delete'!D34</f>
        <v>0.4672</v>
      </c>
      <c r="J7" s="364" t="s">
        <v>11</v>
      </c>
      <c r="K7" s="28" t="s">
        <v>115</v>
      </c>
      <c r="L7" s="28"/>
      <c r="M7" s="28" t="s">
        <v>148</v>
      </c>
      <c r="N7" s="28"/>
      <c r="O7" s="28" t="s">
        <v>0</v>
      </c>
      <c r="P7" s="28"/>
      <c r="Q7" s="28" t="s">
        <v>7</v>
      </c>
      <c r="R7" s="314"/>
      <c r="S7" s="120"/>
    </row>
    <row r="8" spans="1:22" ht="9.75" customHeight="1" x14ac:dyDescent="0.25">
      <c r="F8" s="11"/>
      <c r="G8" s="10" t="s">
        <v>145</v>
      </c>
      <c r="I8" s="10" t="s">
        <v>145</v>
      </c>
      <c r="J8" s="11"/>
      <c r="K8" s="10" t="s">
        <v>145</v>
      </c>
      <c r="O8" s="6" t="s">
        <v>145</v>
      </c>
      <c r="P8" s="5"/>
      <c r="R8" s="124"/>
      <c r="S8" s="12"/>
    </row>
    <row r="9" spans="1:22" ht="15" x14ac:dyDescent="0.25">
      <c r="A9" s="10" t="s">
        <v>8</v>
      </c>
      <c r="C9" s="18">
        <f>'Exh C actual base'!Z21</f>
        <v>291391.25</v>
      </c>
      <c r="D9" s="18"/>
      <c r="E9" s="365">
        <f>ROUND((C9/$C$31),4)</f>
        <v>7.0599999999999996E-2</v>
      </c>
      <c r="F9" s="92"/>
      <c r="G9" s="18">
        <f>ROUND($G$31*E9,0)</f>
        <v>132956</v>
      </c>
      <c r="H9" s="18"/>
      <c r="I9" s="18">
        <f t="shared" ref="I9:I27" si="0">ROUND(C9*$I$7,0)</f>
        <v>136138</v>
      </c>
      <c r="J9" s="92"/>
      <c r="K9" s="18">
        <f>'Exh C-1 IndirectCostCollection'!L8</f>
        <v>136954</v>
      </c>
      <c r="M9" s="18">
        <f>IF(K9&lt;G9,IF(I9&gt;=G9,IF(I9&gt;K9,G9-K9,0),IF(I9&gt;K9,I9-K9,0)),0)</f>
        <v>0</v>
      </c>
      <c r="N9" s="18"/>
      <c r="O9" s="18">
        <f>IF(K9&gt;G9,IF(I9&lt;=G9,IF(I9&lt;K9,K9-G9,0),IF(I9&lt;K9,K9-I9,0)),0)</f>
        <v>816</v>
      </c>
      <c r="P9" s="14"/>
      <c r="Q9" s="237">
        <f>IF(K9&gt;=G9,G9-K9,IF(I9&gt;=K9,IF(I9&lt;=G9,G9-I9,0),IF(I9&lt;=G9,G9-K9,0)))+O9</f>
        <v>-3182</v>
      </c>
      <c r="R9" s="124"/>
      <c r="S9" s="12"/>
      <c r="T9" s="18" t="s">
        <v>145</v>
      </c>
      <c r="U9" s="18" t="s">
        <v>145</v>
      </c>
      <c r="V9" s="18" t="s">
        <v>145</v>
      </c>
    </row>
    <row r="10" spans="1:22" ht="15" x14ac:dyDescent="0.25">
      <c r="A10" s="10" t="s">
        <v>13</v>
      </c>
      <c r="C10" s="6">
        <f>'Exh C actual base'!Z49</f>
        <v>57471</v>
      </c>
      <c r="E10" s="365">
        <f>ROUND((C10/$C$31),4)</f>
        <v>1.3899999999999999E-2</v>
      </c>
      <c r="F10" s="11"/>
      <c r="G10" s="6">
        <f>ROUND($G$31*E10,0)</f>
        <v>26177</v>
      </c>
      <c r="I10" s="6">
        <f>ROUND(C10*$I$7,0)</f>
        <v>26850</v>
      </c>
      <c r="J10" s="11"/>
      <c r="K10" s="6">
        <f>'Exh C-1 IndirectCostCollection'!L9</f>
        <v>27011</v>
      </c>
      <c r="M10" s="6">
        <f>IF(K10&lt;G10,IF(I10&gt;=G10,IF(I10&gt;K10,G10-K10,0),IF(I10&gt;K10,I10-K10,0)),0)</f>
        <v>0</v>
      </c>
      <c r="N10" s="6"/>
      <c r="O10" s="6">
        <f>IF(K10&gt;G10,IF(I10&lt;=G10,IF(I10&lt;K10,K10-G10,0),IF(I10&lt;K10,K10-I10,0)),0)</f>
        <v>161</v>
      </c>
      <c r="P10" s="5"/>
      <c r="Q10" s="239">
        <f>IF(K10&gt;=G10,G10-K10,IF(I10&gt;=K10,IF(I10&lt;=G10,G10-I10,0),IF(I10&lt;=G10,G10-K10,0)))+O10</f>
        <v>-673</v>
      </c>
      <c r="R10" s="124"/>
      <c r="S10" s="12"/>
    </row>
    <row r="11" spans="1:22" ht="15" x14ac:dyDescent="0.25">
      <c r="A11" s="10" t="s">
        <v>9</v>
      </c>
      <c r="C11" s="6">
        <f>'Exh C actual base'!Z31</f>
        <v>961391.75</v>
      </c>
      <c r="E11" s="365">
        <f>ROUND((C11/$C$31),4)</f>
        <v>0.2329</v>
      </c>
      <c r="F11" s="11"/>
      <c r="G11" s="6">
        <f t="shared" ref="G11:G29" si="1">ROUND($G$31*E11,0)</f>
        <v>438605</v>
      </c>
      <c r="I11" s="6">
        <f t="shared" si="0"/>
        <v>449162</v>
      </c>
      <c r="J11" s="11"/>
      <c r="K11" s="6">
        <f>'Exh C-1 IndirectCostCollection'!L11</f>
        <v>451855</v>
      </c>
      <c r="M11" s="6">
        <f t="shared" ref="M11:M27" si="2">IF(K11&lt;G11,IF(I11&gt;=G11,IF(I11&gt;K11,G11-K11,0),IF(I11&gt;K11,I11-K11,0)),0)</f>
        <v>0</v>
      </c>
      <c r="N11" s="6"/>
      <c r="O11" s="6">
        <f t="shared" ref="O11:O27" si="3">IF(K11&gt;G11,IF(I11&lt;=G11,IF(I11&lt;K11,K11-G11,0),IF(I11&lt;K11,K11-I11,0)),0)</f>
        <v>2693</v>
      </c>
      <c r="P11" s="5"/>
      <c r="Q11" s="239">
        <f t="shared" ref="Q11:Q27" si="4">IF(K11&gt;=G11,G11-K11,IF(I11&gt;=K11,IF(I11&lt;=G11,G11-I11,0),IF(I11&lt;=G11,G11-K11,0)))+O11</f>
        <v>-10557</v>
      </c>
      <c r="R11" s="124"/>
      <c r="S11" s="12"/>
    </row>
    <row r="12" spans="1:22" ht="15" x14ac:dyDescent="0.25">
      <c r="A12" s="10" t="s">
        <v>392</v>
      </c>
      <c r="C12" s="6">
        <f>'Exh C actual base'!Z180</f>
        <v>16209</v>
      </c>
      <c r="E12" s="365">
        <f t="shared" ref="E12" si="5">ROUND((C12/$C$31),4)</f>
        <v>3.8999999999999998E-3</v>
      </c>
      <c r="F12" s="11"/>
      <c r="G12" s="6">
        <f t="shared" ref="G12" si="6">ROUND($G$31*E12,0)</f>
        <v>7345</v>
      </c>
      <c r="I12" s="6">
        <f t="shared" ref="I12" si="7">ROUND(C12*$I$7,0)</f>
        <v>7573</v>
      </c>
      <c r="J12" s="11"/>
      <c r="K12" s="6">
        <f>'Exh C-1 IndirectCostCollection'!L27</f>
        <v>0</v>
      </c>
      <c r="M12" s="6">
        <f t="shared" ref="M12" si="8">IF(K12&lt;G12,IF(I12&gt;=G12,IF(I12&gt;K12,G12-K12,0),IF(I12&gt;K12,I12-K12,0)),0)</f>
        <v>7345</v>
      </c>
      <c r="N12" s="6"/>
      <c r="O12" s="6">
        <f t="shared" ref="O12" si="9">IF(K12&gt;G12,IF(I12&lt;=G12,IF(I12&lt;K12,K12-G12,0),IF(I12&lt;K12,K12-I12,0)),0)</f>
        <v>0</v>
      </c>
      <c r="P12" s="5"/>
      <c r="Q12" s="239">
        <f t="shared" ref="Q12" si="10">IF(K12&gt;=G12,G12-K12,IF(I12&gt;=K12,IF(I12&lt;=G12,G12-I12,0),IF(I12&lt;=G12,G12-K12,0)))+O12</f>
        <v>0</v>
      </c>
      <c r="R12" s="124"/>
      <c r="S12" s="12"/>
    </row>
    <row r="13" spans="1:22" ht="15" x14ac:dyDescent="0.25">
      <c r="A13" s="10" t="s">
        <v>12</v>
      </c>
      <c r="C13" s="6">
        <f>'Exh C actual base'!Z42</f>
        <v>274017.25</v>
      </c>
      <c r="E13" s="365">
        <f t="shared" ref="E13:E29" si="11">ROUND((C13/$C$31),4)</f>
        <v>6.6400000000000001E-2</v>
      </c>
      <c r="F13" s="11"/>
      <c r="G13" s="6">
        <f t="shared" si="1"/>
        <v>125047</v>
      </c>
      <c r="I13" s="6">
        <f t="shared" si="0"/>
        <v>128021</v>
      </c>
      <c r="J13" s="11"/>
      <c r="K13" s="6">
        <f>'Exh C-1 IndirectCostCollection'!L12</f>
        <v>128788</v>
      </c>
      <c r="M13" s="6">
        <f t="shared" si="2"/>
        <v>0</v>
      </c>
      <c r="N13" s="6"/>
      <c r="O13" s="6">
        <f t="shared" si="3"/>
        <v>767</v>
      </c>
      <c r="P13" s="5"/>
      <c r="Q13" s="239">
        <f t="shared" si="4"/>
        <v>-2974</v>
      </c>
      <c r="R13" s="124"/>
      <c r="S13" s="12"/>
    </row>
    <row r="14" spans="1:22" ht="15" x14ac:dyDescent="0.25">
      <c r="A14" s="10" t="s">
        <v>14</v>
      </c>
      <c r="C14" s="6">
        <f>'Exh C actual base'!Z66</f>
        <v>251436.5</v>
      </c>
      <c r="E14" s="365">
        <f t="shared" si="11"/>
        <v>6.0900000000000003E-2</v>
      </c>
      <c r="F14" s="11"/>
      <c r="G14" s="6">
        <f t="shared" si="1"/>
        <v>114689</v>
      </c>
      <c r="I14" s="6">
        <f t="shared" si="0"/>
        <v>117471</v>
      </c>
      <c r="J14" s="11"/>
      <c r="K14" s="6">
        <f>'Exh C-1 IndirectCostCollection'!L13</f>
        <v>118175</v>
      </c>
      <c r="M14" s="6">
        <f t="shared" si="2"/>
        <v>0</v>
      </c>
      <c r="N14" s="6"/>
      <c r="O14" s="6">
        <f t="shared" si="3"/>
        <v>704</v>
      </c>
      <c r="P14" s="5"/>
      <c r="Q14" s="239">
        <f t="shared" si="4"/>
        <v>-2782</v>
      </c>
      <c r="R14" s="124"/>
      <c r="S14" s="12"/>
    </row>
    <row r="15" spans="1:22" ht="15" x14ac:dyDescent="0.25">
      <c r="A15" s="10" t="s">
        <v>134</v>
      </c>
      <c r="C15" s="6">
        <f>'Exh C actual base'!Z74</f>
        <v>31441</v>
      </c>
      <c r="E15" s="365">
        <f t="shared" si="11"/>
        <v>7.6E-3</v>
      </c>
      <c r="F15" s="11"/>
      <c r="G15" s="6">
        <f t="shared" si="1"/>
        <v>14313</v>
      </c>
      <c r="I15" s="6">
        <f t="shared" si="0"/>
        <v>14689</v>
      </c>
      <c r="J15" s="11"/>
      <c r="K15" s="6">
        <f>'Exh C-1 IndirectCostCollection'!L14</f>
        <v>14777</v>
      </c>
      <c r="M15" s="6">
        <f t="shared" si="2"/>
        <v>0</v>
      </c>
      <c r="N15" s="6"/>
      <c r="O15" s="6">
        <f t="shared" si="3"/>
        <v>88</v>
      </c>
      <c r="P15" s="5"/>
      <c r="Q15" s="239">
        <f t="shared" si="4"/>
        <v>-376</v>
      </c>
      <c r="R15" s="124"/>
      <c r="S15" s="12"/>
    </row>
    <row r="16" spans="1:22" ht="15" x14ac:dyDescent="0.25">
      <c r="A16" s="10" t="s">
        <v>226</v>
      </c>
      <c r="C16" s="6">
        <f>'Exh C actual base'!Z82</f>
        <v>0</v>
      </c>
      <c r="E16" s="365">
        <f t="shared" si="11"/>
        <v>0</v>
      </c>
      <c r="F16" s="11"/>
      <c r="G16" s="6">
        <f t="shared" si="1"/>
        <v>0</v>
      </c>
      <c r="I16" s="6">
        <f t="shared" si="0"/>
        <v>0</v>
      </c>
      <c r="J16" s="11"/>
      <c r="K16" s="6">
        <f>'Exh C-1 IndirectCostCollection'!L15</f>
        <v>0</v>
      </c>
      <c r="M16" s="6">
        <f t="shared" si="2"/>
        <v>0</v>
      </c>
      <c r="N16" s="6"/>
      <c r="O16" s="6">
        <f t="shared" si="3"/>
        <v>0</v>
      </c>
      <c r="P16" s="5"/>
      <c r="Q16" s="239">
        <f t="shared" si="4"/>
        <v>0</v>
      </c>
      <c r="R16" s="124"/>
      <c r="S16" s="12"/>
    </row>
    <row r="17" spans="1:22" ht="15" x14ac:dyDescent="0.25">
      <c r="A17" s="10" t="s">
        <v>16</v>
      </c>
      <c r="C17" s="6">
        <f>'Exh C actual base'!Z90</f>
        <v>256614</v>
      </c>
      <c r="E17" s="365">
        <f t="shared" si="11"/>
        <v>6.2199999999999998E-2</v>
      </c>
      <c r="F17" s="11"/>
      <c r="G17" s="6">
        <f t="shared" si="1"/>
        <v>117137</v>
      </c>
      <c r="I17" s="6">
        <f t="shared" si="0"/>
        <v>119890</v>
      </c>
      <c r="J17" s="11"/>
      <c r="K17" s="6">
        <f>'Exh C-1 IndirectCostCollection'!L16</f>
        <v>120609</v>
      </c>
      <c r="M17" s="6">
        <f t="shared" si="2"/>
        <v>0</v>
      </c>
      <c r="N17" s="6"/>
      <c r="O17" s="6">
        <f t="shared" si="3"/>
        <v>719</v>
      </c>
      <c r="P17" s="5"/>
      <c r="Q17" s="239">
        <f t="shared" si="4"/>
        <v>-2753</v>
      </c>
      <c r="R17" s="124"/>
      <c r="S17" s="12"/>
    </row>
    <row r="18" spans="1:22" ht="15" x14ac:dyDescent="0.25">
      <c r="A18" s="10" t="s">
        <v>17</v>
      </c>
      <c r="C18" s="6">
        <f>'Exh C actual base'!Z98</f>
        <v>292704.25</v>
      </c>
      <c r="E18" s="365">
        <f t="shared" si="11"/>
        <v>7.0900000000000005E-2</v>
      </c>
      <c r="F18" s="11"/>
      <c r="G18" s="6">
        <f t="shared" si="1"/>
        <v>133521</v>
      </c>
      <c r="I18" s="6">
        <f t="shared" si="0"/>
        <v>136751</v>
      </c>
      <c r="J18" s="11"/>
      <c r="K18" s="6">
        <f>'Exh C-1 IndirectCostCollection'!L17</f>
        <v>137571</v>
      </c>
      <c r="M18" s="6">
        <f t="shared" si="2"/>
        <v>0</v>
      </c>
      <c r="N18" s="6"/>
      <c r="O18" s="6">
        <f t="shared" si="3"/>
        <v>820</v>
      </c>
      <c r="P18" s="5"/>
      <c r="Q18" s="239">
        <f t="shared" si="4"/>
        <v>-3230</v>
      </c>
      <c r="R18" s="124"/>
      <c r="S18" s="12"/>
    </row>
    <row r="19" spans="1:22" ht="15" x14ac:dyDescent="0.25">
      <c r="A19" s="10" t="s">
        <v>20</v>
      </c>
      <c r="C19" s="6">
        <f>'Exh C actual base'!Z106</f>
        <v>41148</v>
      </c>
      <c r="E19" s="365">
        <f t="shared" si="11"/>
        <v>0.01</v>
      </c>
      <c r="F19" s="11"/>
      <c r="G19" s="6">
        <f t="shared" si="1"/>
        <v>18832</v>
      </c>
      <c r="I19" s="6">
        <f t="shared" si="0"/>
        <v>19224</v>
      </c>
      <c r="J19" s="11"/>
      <c r="K19" s="6">
        <f>'Exh C-1 IndirectCostCollection'!L18</f>
        <v>19340</v>
      </c>
      <c r="M19" s="6">
        <f t="shared" si="2"/>
        <v>0</v>
      </c>
      <c r="N19" s="6"/>
      <c r="O19" s="6">
        <f t="shared" si="3"/>
        <v>116</v>
      </c>
      <c r="P19" s="5"/>
      <c r="Q19" s="239">
        <f t="shared" si="4"/>
        <v>-392</v>
      </c>
      <c r="R19" s="124"/>
      <c r="S19" s="12"/>
    </row>
    <row r="20" spans="1:22" ht="15" x14ac:dyDescent="0.25">
      <c r="A20" s="10" t="s">
        <v>18</v>
      </c>
      <c r="C20" s="6">
        <f>'Exh C actual base'!Z114</f>
        <v>96634.75</v>
      </c>
      <c r="E20" s="365">
        <f t="shared" si="11"/>
        <v>2.3400000000000001E-2</v>
      </c>
      <c r="F20" s="11"/>
      <c r="G20" s="6">
        <f t="shared" si="1"/>
        <v>44068</v>
      </c>
      <c r="I20" s="6">
        <f t="shared" si="0"/>
        <v>45148</v>
      </c>
      <c r="J20" s="11"/>
      <c r="K20" s="6">
        <f>'Exh C-1 IndirectCostCollection'!L19</f>
        <v>45418</v>
      </c>
      <c r="M20" s="6">
        <f t="shared" si="2"/>
        <v>0</v>
      </c>
      <c r="N20" s="6"/>
      <c r="O20" s="6">
        <f t="shared" si="3"/>
        <v>270</v>
      </c>
      <c r="P20" s="5"/>
      <c r="Q20" s="239">
        <f t="shared" si="4"/>
        <v>-1080</v>
      </c>
      <c r="R20" s="124"/>
      <c r="S20" s="12"/>
    </row>
    <row r="21" spans="1:22" ht="15" x14ac:dyDescent="0.25">
      <c r="A21" s="10" t="s">
        <v>137</v>
      </c>
      <c r="C21" s="6">
        <f>'Exh C actual base'!Z122</f>
        <v>0</v>
      </c>
      <c r="E21" s="365">
        <f t="shared" si="11"/>
        <v>0</v>
      </c>
      <c r="F21" s="11"/>
      <c r="G21" s="6">
        <f t="shared" si="1"/>
        <v>0</v>
      </c>
      <c r="I21" s="6">
        <f t="shared" si="0"/>
        <v>0</v>
      </c>
      <c r="J21" s="11"/>
      <c r="K21" s="6">
        <f>'Exh C-1 IndirectCostCollection'!L20</f>
        <v>0</v>
      </c>
      <c r="M21" s="6">
        <f>IF(K21&lt;G21,IF(I21&gt;=G21,IF(I21&gt;K21,G21-K21,0),IF(I21&gt;K21,I21-K21,0)),0)</f>
        <v>0</v>
      </c>
      <c r="N21" s="6"/>
      <c r="O21" s="6">
        <f>IF(K21&gt;G21,IF(I21&lt;=G21,IF(I21&lt;K21,K21-G21,0),IF(I21&lt;K21,K21-I21,0)),0)</f>
        <v>0</v>
      </c>
      <c r="P21" s="5"/>
      <c r="Q21" s="239">
        <f>IF(K21&gt;=G21,G21-K21,IF(I21&gt;=K21,IF(I21&lt;=G21,G21-I21,0),IF(I21&lt;=G21,G21-K21,0)))+O21</f>
        <v>0</v>
      </c>
      <c r="R21" s="124"/>
      <c r="S21" s="12"/>
    </row>
    <row r="22" spans="1:22" ht="15" x14ac:dyDescent="0.25">
      <c r="A22" s="10" t="s">
        <v>15</v>
      </c>
      <c r="C22" s="6">
        <f>'Exh C actual base'!Z130</f>
        <v>0</v>
      </c>
      <c r="E22" s="365">
        <f t="shared" si="11"/>
        <v>0</v>
      </c>
      <c r="F22" s="11"/>
      <c r="G22" s="6">
        <f t="shared" si="1"/>
        <v>0</v>
      </c>
      <c r="I22" s="6">
        <f t="shared" si="0"/>
        <v>0</v>
      </c>
      <c r="J22" s="11"/>
      <c r="K22" s="6">
        <f>'Exh C-1 IndirectCostCollection'!L21</f>
        <v>0</v>
      </c>
      <c r="M22" s="6">
        <f t="shared" si="2"/>
        <v>0</v>
      </c>
      <c r="N22" s="6"/>
      <c r="O22" s="6">
        <f t="shared" si="3"/>
        <v>0</v>
      </c>
      <c r="P22" s="5"/>
      <c r="Q22" s="239">
        <f t="shared" si="4"/>
        <v>0</v>
      </c>
      <c r="R22" s="124"/>
      <c r="S22" s="12"/>
    </row>
    <row r="23" spans="1:22" ht="15" x14ac:dyDescent="0.25">
      <c r="A23" s="10" t="s">
        <v>152</v>
      </c>
      <c r="C23" s="6">
        <f>'Exh C actual base'!Z138</f>
        <v>0</v>
      </c>
      <c r="E23" s="365">
        <f t="shared" si="11"/>
        <v>0</v>
      </c>
      <c r="F23" s="11"/>
      <c r="G23" s="6">
        <f t="shared" si="1"/>
        <v>0</v>
      </c>
      <c r="I23" s="6">
        <f t="shared" si="0"/>
        <v>0</v>
      </c>
      <c r="J23" s="11"/>
      <c r="K23" s="6">
        <f>'Exh C-1 IndirectCostCollection'!L22</f>
        <v>0</v>
      </c>
      <c r="M23" s="6">
        <f t="shared" si="2"/>
        <v>0</v>
      </c>
      <c r="N23" s="6"/>
      <c r="O23" s="6">
        <f t="shared" si="3"/>
        <v>0</v>
      </c>
      <c r="P23" s="5"/>
      <c r="Q23" s="239">
        <f t="shared" si="4"/>
        <v>0</v>
      </c>
      <c r="R23" s="124"/>
      <c r="S23" s="12"/>
    </row>
    <row r="24" spans="1:22" ht="15" x14ac:dyDescent="0.25">
      <c r="A24" s="10" t="s">
        <v>19</v>
      </c>
      <c r="C24" s="6">
        <f>'Exh C actual base'!Z146</f>
        <v>36402</v>
      </c>
      <c r="E24" s="365">
        <f t="shared" si="11"/>
        <v>8.8000000000000005E-3</v>
      </c>
      <c r="F24" s="11"/>
      <c r="G24" s="6">
        <f t="shared" si="1"/>
        <v>16572</v>
      </c>
      <c r="I24" s="6">
        <f t="shared" si="0"/>
        <v>17007</v>
      </c>
      <c r="J24" s="11"/>
      <c r="K24" s="6">
        <f>'Exh C-1 IndirectCostCollection'!L23</f>
        <v>17109</v>
      </c>
      <c r="M24" s="6">
        <f t="shared" si="2"/>
        <v>0</v>
      </c>
      <c r="N24" s="6"/>
      <c r="O24" s="6">
        <f t="shared" si="3"/>
        <v>102</v>
      </c>
      <c r="P24" s="5"/>
      <c r="Q24" s="239">
        <f t="shared" si="4"/>
        <v>-435</v>
      </c>
      <c r="R24" s="124"/>
      <c r="S24" s="12"/>
    </row>
    <row r="25" spans="1:22" ht="15" x14ac:dyDescent="0.25">
      <c r="A25" s="10" t="s">
        <v>138</v>
      </c>
      <c r="C25" s="6">
        <f>'Exh C actual base'!Z154</f>
        <v>0</v>
      </c>
      <c r="E25" s="365">
        <f t="shared" si="11"/>
        <v>0</v>
      </c>
      <c r="F25" s="11"/>
      <c r="G25" s="6">
        <f t="shared" si="1"/>
        <v>0</v>
      </c>
      <c r="I25" s="6">
        <f t="shared" si="0"/>
        <v>0</v>
      </c>
      <c r="J25" s="11"/>
      <c r="K25" s="6">
        <f>'Exh C-1 IndirectCostCollection'!L24</f>
        <v>0</v>
      </c>
      <c r="M25" s="6">
        <f t="shared" si="2"/>
        <v>0</v>
      </c>
      <c r="N25" s="6"/>
      <c r="O25" s="6">
        <f t="shared" si="3"/>
        <v>0</v>
      </c>
      <c r="P25" s="5"/>
      <c r="Q25" s="239">
        <f t="shared" si="4"/>
        <v>0</v>
      </c>
      <c r="R25" s="124"/>
      <c r="S25" s="12"/>
    </row>
    <row r="26" spans="1:22" ht="15" x14ac:dyDescent="0.25">
      <c r="A26" s="10" t="s">
        <v>139</v>
      </c>
      <c r="C26" s="6">
        <f>'Exh C actual base'!Z162</f>
        <v>18750</v>
      </c>
      <c r="E26" s="365">
        <f t="shared" si="11"/>
        <v>4.4999999999999997E-3</v>
      </c>
      <c r="F26" s="11"/>
      <c r="G26" s="6">
        <f t="shared" si="1"/>
        <v>8475</v>
      </c>
      <c r="I26" s="6">
        <f t="shared" si="0"/>
        <v>8760</v>
      </c>
      <c r="J26" s="11"/>
      <c r="K26" s="6">
        <f>'Exh C-1 IndirectCostCollection'!L25</f>
        <v>8813</v>
      </c>
      <c r="M26" s="6">
        <f t="shared" si="2"/>
        <v>0</v>
      </c>
      <c r="N26" s="6"/>
      <c r="O26" s="6">
        <f t="shared" si="3"/>
        <v>53</v>
      </c>
      <c r="P26" s="5"/>
      <c r="Q26" s="239">
        <f t="shared" si="4"/>
        <v>-285</v>
      </c>
      <c r="R26" s="124"/>
      <c r="S26" s="12"/>
    </row>
    <row r="27" spans="1:22" ht="15" x14ac:dyDescent="0.25">
      <c r="A27" s="10" t="s">
        <v>229</v>
      </c>
      <c r="C27" s="6">
        <f>'Exh C actual base'!Z174</f>
        <v>36124.25</v>
      </c>
      <c r="E27" s="365">
        <f t="shared" si="11"/>
        <v>8.8000000000000005E-3</v>
      </c>
      <c r="F27" s="11"/>
      <c r="G27" s="6">
        <f t="shared" si="1"/>
        <v>16572</v>
      </c>
      <c r="I27" s="6">
        <f t="shared" si="0"/>
        <v>16877</v>
      </c>
      <c r="J27" s="11"/>
      <c r="K27" s="6">
        <f>'Exh C-1 IndirectCostCollection'!L26</f>
        <v>16978</v>
      </c>
      <c r="M27" s="6">
        <f t="shared" si="2"/>
        <v>0</v>
      </c>
      <c r="N27" s="6"/>
      <c r="O27" s="6">
        <f t="shared" si="3"/>
        <v>101</v>
      </c>
      <c r="P27" s="5"/>
      <c r="Q27" s="239">
        <f t="shared" si="4"/>
        <v>-305</v>
      </c>
      <c r="R27" s="124"/>
      <c r="S27" s="12"/>
    </row>
    <row r="28" spans="1:22" x14ac:dyDescent="0.2">
      <c r="A28" s="10" t="s">
        <v>10</v>
      </c>
      <c r="C28" s="6">
        <f>'Exh C actual base'!Z56</f>
        <v>210930</v>
      </c>
      <c r="D28" s="18"/>
      <c r="E28" s="365">
        <f t="shared" si="11"/>
        <v>5.11E-2</v>
      </c>
      <c r="F28" s="92"/>
      <c r="G28" s="6">
        <f t="shared" si="1"/>
        <v>96233</v>
      </c>
      <c r="H28" s="18"/>
      <c r="I28" s="6">
        <f>ROUND(C28*$I$7,0)</f>
        <v>98546</v>
      </c>
      <c r="K28" s="6">
        <f>'Exh C-1 IndirectCostCollection'!L10</f>
        <v>99137</v>
      </c>
      <c r="M28" s="6" t="s">
        <v>145</v>
      </c>
      <c r="N28" s="6"/>
      <c r="O28" s="6"/>
      <c r="P28" s="5"/>
      <c r="Q28" s="239" t="s">
        <v>145</v>
      </c>
      <c r="R28" s="366" t="s">
        <v>22</v>
      </c>
      <c r="S28" s="12"/>
      <c r="T28" s="18"/>
      <c r="U28" s="18"/>
      <c r="V28" s="18"/>
    </row>
    <row r="29" spans="1:22" x14ac:dyDescent="0.2">
      <c r="A29" s="10" t="s">
        <v>21</v>
      </c>
      <c r="C29" s="6">
        <f>'Exh C actual base'!Z193</f>
        <v>1255650</v>
      </c>
      <c r="E29" s="365">
        <f t="shared" si="11"/>
        <v>0.30420000000000003</v>
      </c>
      <c r="F29" s="11"/>
      <c r="G29" s="6">
        <f t="shared" si="1"/>
        <v>572879</v>
      </c>
      <c r="I29" s="6">
        <f>ROUND(C29*$I$7,0)</f>
        <v>586640</v>
      </c>
      <c r="M29" s="12"/>
      <c r="N29" s="12"/>
      <c r="O29" s="12"/>
      <c r="Q29" s="240"/>
      <c r="R29" s="154" t="s">
        <v>24</v>
      </c>
      <c r="S29" s="12"/>
    </row>
    <row r="30" spans="1:22" ht="15" x14ac:dyDescent="0.25">
      <c r="C30" s="121"/>
      <c r="E30" s="122"/>
      <c r="F30" s="11"/>
      <c r="G30" s="121"/>
      <c r="I30" s="121"/>
      <c r="J30" s="11"/>
      <c r="K30" s="121"/>
      <c r="M30" s="121"/>
      <c r="N30" s="121"/>
      <c r="O30" s="121"/>
      <c r="Q30" s="121"/>
      <c r="R30" s="124"/>
      <c r="S30" s="12"/>
    </row>
    <row r="31" spans="1:22" ht="15.75" thickBot="1" x14ac:dyDescent="0.3">
      <c r="A31" s="10" t="s">
        <v>23</v>
      </c>
      <c r="C31" s="9">
        <f>SUM(C9:C30)</f>
        <v>4128315</v>
      </c>
      <c r="E31" s="123">
        <f>ROUND(SUM(E9:E30),3)</f>
        <v>1</v>
      </c>
      <c r="F31" s="11"/>
      <c r="G31" s="9">
        <f>G38</f>
        <v>1883233</v>
      </c>
      <c r="H31" s="11"/>
      <c r="I31" s="9">
        <f>SUM(I9:I30)</f>
        <v>1928747</v>
      </c>
      <c r="J31" s="11"/>
      <c r="K31" s="9">
        <f>SUM(K9:K30)</f>
        <v>1342535</v>
      </c>
      <c r="L31" s="11"/>
      <c r="M31" s="9">
        <f>SUM(M9:M30)</f>
        <v>7345</v>
      </c>
      <c r="N31" s="9"/>
      <c r="O31" s="9">
        <f>SUM(O9:O27)</f>
        <v>7410</v>
      </c>
      <c r="P31" s="14"/>
      <c r="Q31" s="238">
        <f>SUM(Q9:Q30)</f>
        <v>-29024</v>
      </c>
      <c r="R31" s="124"/>
      <c r="S31" s="12"/>
    </row>
    <row r="32" spans="1:22" ht="15.75" thickTop="1" x14ac:dyDescent="0.25">
      <c r="C32" s="291">
        <f>'Exh C actual base'!Z195-C31</f>
        <v>0</v>
      </c>
      <c r="E32" s="129"/>
      <c r="F32" s="11"/>
      <c r="G32" s="14"/>
      <c r="H32" s="11"/>
      <c r="I32" s="14"/>
      <c r="J32" s="11"/>
      <c r="K32" s="291">
        <f>'Exh C-1 IndirectCostCollection'!L30-K31</f>
        <v>0</v>
      </c>
      <c r="L32" s="11"/>
      <c r="M32" s="14"/>
      <c r="N32" s="14"/>
      <c r="O32" s="14"/>
      <c r="P32" s="14"/>
      <c r="Q32" s="14"/>
      <c r="R32" s="124"/>
      <c r="S32" s="12"/>
    </row>
    <row r="33" spans="1:19" ht="15" x14ac:dyDescent="0.25">
      <c r="A33" s="124"/>
      <c r="B33" s="124"/>
      <c r="C33" s="125" t="s">
        <v>220</v>
      </c>
      <c r="D33" s="125"/>
      <c r="E33" s="367"/>
      <c r="F33" s="125"/>
      <c r="G33" s="367"/>
      <c r="H33" s="367"/>
      <c r="I33" s="367"/>
      <c r="J33" s="367"/>
      <c r="K33" s="125" t="s">
        <v>221</v>
      </c>
      <c r="L33" s="367"/>
      <c r="M33" s="368"/>
      <c r="N33" s="126"/>
      <c r="O33" s="368"/>
      <c r="P33" s="68"/>
      <c r="Q33" s="127"/>
      <c r="R33" s="124"/>
      <c r="S33" s="12"/>
    </row>
    <row r="34" spans="1:19" ht="15" x14ac:dyDescent="0.25">
      <c r="A34" s="124"/>
      <c r="B34" s="124"/>
      <c r="D34" s="125"/>
      <c r="E34" s="125"/>
      <c r="F34" s="125"/>
      <c r="G34" s="125"/>
      <c r="H34" s="367"/>
      <c r="I34" s="367"/>
      <c r="J34" s="367"/>
      <c r="K34" s="367" t="s">
        <v>25</v>
      </c>
      <c r="L34" s="367"/>
      <c r="M34" s="367"/>
      <c r="N34" s="125"/>
      <c r="O34" s="125"/>
      <c r="P34" s="68"/>
      <c r="Q34" s="124"/>
      <c r="R34" s="124"/>
      <c r="S34" s="12"/>
    </row>
    <row r="35" spans="1:19" ht="15" x14ac:dyDescent="0.25">
      <c r="A35" s="124" t="s">
        <v>219</v>
      </c>
      <c r="B35" s="124"/>
      <c r="C35" s="125" t="str">
        <f>'start here-do not delete'!D31</f>
        <v>FY 2022</v>
      </c>
      <c r="D35" s="124"/>
      <c r="E35" s="124" t="s">
        <v>394</v>
      </c>
      <c r="F35" s="311"/>
      <c r="G35" s="242">
        <f>'Exh E-1 actual pool'!N67</f>
        <v>1887808</v>
      </c>
      <c r="H35" s="124"/>
      <c r="I35" s="124"/>
      <c r="J35" s="311"/>
      <c r="K35" s="125"/>
      <c r="L35" s="124"/>
      <c r="M35" s="125"/>
      <c r="N35" s="125"/>
      <c r="O35" s="125"/>
      <c r="P35" s="68"/>
      <c r="Q35" s="50"/>
      <c r="R35" s="124"/>
      <c r="S35" s="12"/>
    </row>
    <row r="36" spans="1:19" ht="15" x14ac:dyDescent="0.25">
      <c r="A36" s="124" t="s">
        <v>393</v>
      </c>
      <c r="B36" s="124"/>
      <c r="C36" s="125" t="str">
        <f>'start here-do not delete'!D30</f>
        <v>FY 2019</v>
      </c>
      <c r="D36" s="124"/>
      <c r="E36" s="124" t="s">
        <v>7</v>
      </c>
      <c r="F36" s="311"/>
      <c r="G36" s="241">
        <f>'start here-do not delete'!D35</f>
        <v>-4575</v>
      </c>
      <c r="H36" s="314" t="s">
        <v>11</v>
      </c>
      <c r="I36" s="124"/>
      <c r="J36" s="311"/>
      <c r="K36" s="125"/>
      <c r="L36" s="124"/>
      <c r="M36" s="125"/>
      <c r="N36" s="125"/>
      <c r="O36" s="125"/>
      <c r="P36" s="68"/>
      <c r="Q36" s="50"/>
      <c r="R36" s="124"/>
      <c r="S36" s="12"/>
    </row>
    <row r="37" spans="1:19" ht="15" x14ac:dyDescent="0.25">
      <c r="A37" s="124"/>
      <c r="B37" s="124"/>
      <c r="C37" s="124"/>
      <c r="D37" s="124"/>
      <c r="E37" s="124"/>
      <c r="F37" s="311"/>
      <c r="G37" s="49"/>
      <c r="H37" s="124"/>
      <c r="I37" s="124"/>
      <c r="J37" s="311"/>
      <c r="K37" s="125"/>
      <c r="L37" s="124"/>
      <c r="M37" s="125"/>
      <c r="N37" s="125"/>
      <c r="O37" s="125"/>
      <c r="P37" s="68"/>
      <c r="Q37" s="50"/>
      <c r="R37" s="124"/>
      <c r="S37" s="12"/>
    </row>
    <row r="38" spans="1:19" ht="15.75" thickBot="1" x14ac:dyDescent="0.3">
      <c r="A38" s="124"/>
      <c r="B38" s="124"/>
      <c r="C38" s="124"/>
      <c r="D38" s="124"/>
      <c r="E38" s="124"/>
      <c r="F38" s="311"/>
      <c r="G38" s="243">
        <f>SUM(G35:G37)</f>
        <v>1883233</v>
      </c>
      <c r="H38" s="124"/>
      <c r="I38" s="124"/>
      <c r="J38" s="311"/>
      <c r="K38" s="125"/>
      <c r="L38" s="124"/>
      <c r="M38" s="125"/>
      <c r="N38" s="125"/>
      <c r="O38" s="125"/>
      <c r="P38" s="68"/>
      <c r="Q38" s="50"/>
      <c r="R38" s="124"/>
      <c r="S38" s="12"/>
    </row>
    <row r="39" spans="1:19" ht="15.75" thickTop="1" x14ac:dyDescent="0.25">
      <c r="A39" s="124"/>
      <c r="B39" s="124"/>
      <c r="C39" s="124"/>
      <c r="D39" s="124"/>
      <c r="H39" s="124"/>
      <c r="I39" s="124"/>
      <c r="J39" s="311"/>
      <c r="K39" s="125"/>
      <c r="L39" s="124"/>
      <c r="M39" s="125"/>
      <c r="N39" s="125"/>
      <c r="O39" s="125"/>
      <c r="P39" s="68"/>
      <c r="Q39" s="50"/>
      <c r="R39" s="124"/>
      <c r="S39" s="12"/>
    </row>
    <row r="40" spans="1:19" ht="15" x14ac:dyDescent="0.25">
      <c r="A40" s="124"/>
      <c r="B40" s="124"/>
      <c r="C40" s="124"/>
      <c r="D40" s="124"/>
      <c r="H40" s="124"/>
      <c r="I40" s="124"/>
      <c r="J40" s="311"/>
      <c r="K40" s="125"/>
      <c r="L40" s="124"/>
      <c r="M40" s="125"/>
      <c r="N40" s="125"/>
      <c r="O40" s="125"/>
      <c r="P40" s="68"/>
      <c r="Q40" s="50"/>
      <c r="R40" s="124"/>
      <c r="S40" s="12"/>
    </row>
    <row r="41" spans="1:19" ht="15.75" x14ac:dyDescent="0.25">
      <c r="A41" s="124"/>
      <c r="B41" s="124"/>
      <c r="C41" s="293" t="str">
        <f>'start here-do not delete'!D32</f>
        <v>FY 2025</v>
      </c>
      <c r="D41" s="256"/>
      <c r="E41" s="256" t="s">
        <v>395</v>
      </c>
      <c r="F41" s="256"/>
      <c r="G41" s="256"/>
      <c r="H41" s="256"/>
      <c r="I41" s="256"/>
      <c r="J41" s="293"/>
      <c r="K41" s="297">
        <f>'Exh E-2 proposed pool'!N67</f>
        <v>1993560</v>
      </c>
      <c r="L41" s="124"/>
      <c r="M41" s="125"/>
      <c r="N41" s="125"/>
      <c r="O41" s="125"/>
      <c r="P41" s="68"/>
      <c r="Q41" s="50"/>
      <c r="R41" s="124"/>
      <c r="S41" s="12"/>
    </row>
    <row r="42" spans="1:19" ht="15.75" x14ac:dyDescent="0.25">
      <c r="A42" s="124"/>
      <c r="B42" s="124"/>
      <c r="C42" s="294" t="str">
        <f>C5</f>
        <v>FY 2022</v>
      </c>
      <c r="D42" s="256"/>
      <c r="E42" s="256" t="s">
        <v>396</v>
      </c>
      <c r="F42" s="256"/>
      <c r="G42" s="256"/>
      <c r="H42" s="256"/>
      <c r="I42" s="256"/>
      <c r="J42" s="293" t="str">
        <f>C41</f>
        <v>FY 2025</v>
      </c>
      <c r="K42" s="298">
        <f>Q31</f>
        <v>-29024</v>
      </c>
      <c r="L42" s="124"/>
      <c r="M42" s="125"/>
      <c r="N42" s="125"/>
      <c r="O42" s="125"/>
      <c r="P42" s="68"/>
      <c r="Q42" s="50"/>
      <c r="R42" s="124"/>
      <c r="S42" s="12"/>
    </row>
    <row r="43" spans="1:19" ht="15.75" x14ac:dyDescent="0.25">
      <c r="A43" s="124"/>
      <c r="B43" s="124"/>
      <c r="C43" s="295"/>
      <c r="D43" s="256"/>
      <c r="E43" s="256"/>
      <c r="F43" s="256"/>
      <c r="G43" s="256"/>
      <c r="H43" s="256"/>
      <c r="I43" s="256"/>
      <c r="J43" s="293"/>
      <c r="K43" s="297"/>
      <c r="L43" s="124"/>
      <c r="M43" s="125"/>
      <c r="N43" s="125"/>
      <c r="O43" s="125"/>
      <c r="P43" s="68"/>
      <c r="Q43" s="50"/>
      <c r="R43" s="124"/>
      <c r="S43" s="12"/>
    </row>
    <row r="44" spans="1:19" ht="16.5" thickBot="1" x14ac:dyDescent="0.3">
      <c r="A44" s="124"/>
      <c r="B44" s="124"/>
      <c r="C44" s="296" t="str">
        <f>C41</f>
        <v>FY 2025</v>
      </c>
      <c r="D44" s="256"/>
      <c r="E44" s="256" t="s">
        <v>132</v>
      </c>
      <c r="F44" s="256"/>
      <c r="G44" s="256"/>
      <c r="H44" s="256"/>
      <c r="I44" s="256"/>
      <c r="J44" s="293"/>
      <c r="K44" s="299">
        <f>SUM(K41:K43)</f>
        <v>1964536</v>
      </c>
      <c r="L44" s="124"/>
      <c r="M44" s="125"/>
      <c r="N44" s="125"/>
      <c r="O44" s="125"/>
      <c r="P44" s="68"/>
      <c r="Q44" s="50"/>
      <c r="R44" s="124"/>
      <c r="S44" s="12"/>
    </row>
    <row r="45" spans="1:19" ht="16.5" thickTop="1" x14ac:dyDescent="0.25">
      <c r="A45" s="124"/>
      <c r="B45" s="124"/>
      <c r="C45" s="369"/>
      <c r="D45" s="124"/>
      <c r="H45" s="124"/>
      <c r="I45" s="124"/>
      <c r="J45" s="311"/>
      <c r="K45" s="297"/>
      <c r="L45" s="124"/>
      <c r="M45" s="125"/>
      <c r="N45" s="125"/>
      <c r="O45" s="125"/>
      <c r="P45" s="68"/>
      <c r="Q45" s="50"/>
      <c r="R45" s="124"/>
      <c r="S45" s="12"/>
    </row>
    <row r="46" spans="1:19" ht="16.5" thickBot="1" x14ac:dyDescent="0.3">
      <c r="A46" s="124"/>
      <c r="B46" s="124"/>
      <c r="C46" s="296" t="str">
        <f>C41</f>
        <v>FY 2025</v>
      </c>
      <c r="D46" s="124"/>
      <c r="E46" s="256" t="s">
        <v>308</v>
      </c>
      <c r="H46" s="124"/>
      <c r="I46" s="124"/>
      <c r="J46" s="311"/>
      <c r="K46" s="300">
        <f>'Exh D proposed base'!U194</f>
        <v>4541178.5</v>
      </c>
      <c r="L46" s="124"/>
      <c r="M46" s="125"/>
      <c r="N46" s="125"/>
      <c r="O46" s="125"/>
      <c r="P46" s="68"/>
      <c r="Q46" s="50"/>
      <c r="R46" s="124"/>
      <c r="S46" s="12"/>
    </row>
    <row r="47" spans="1:19" ht="16.5" thickTop="1" x14ac:dyDescent="0.25">
      <c r="A47" s="124"/>
      <c r="B47" s="124"/>
      <c r="C47" s="369"/>
      <c r="D47" s="124"/>
      <c r="H47" s="124"/>
      <c r="I47" s="124"/>
      <c r="J47" s="311"/>
      <c r="K47" s="293"/>
      <c r="L47" s="124"/>
      <c r="M47" s="125"/>
      <c r="N47" s="125"/>
      <c r="O47" s="125"/>
      <c r="P47" s="68"/>
      <c r="Q47" s="50"/>
      <c r="R47" s="124"/>
      <c r="S47" s="12"/>
    </row>
    <row r="48" spans="1:19" ht="16.5" thickBot="1" x14ac:dyDescent="0.3">
      <c r="A48" s="124"/>
      <c r="B48" s="124"/>
      <c r="C48" s="296" t="str">
        <f>C41</f>
        <v>FY 2025</v>
      </c>
      <c r="D48" s="256"/>
      <c r="E48" s="256" t="s">
        <v>397</v>
      </c>
      <c r="F48" s="256"/>
      <c r="G48" s="256"/>
      <c r="H48" s="124"/>
      <c r="I48" s="124"/>
      <c r="J48" s="311"/>
      <c r="K48" s="301">
        <f>K44/K46</f>
        <v>0.43260488439289491</v>
      </c>
      <c r="L48" s="124"/>
      <c r="M48" s="125"/>
      <c r="N48" s="125"/>
      <c r="O48" s="125"/>
      <c r="P48" s="68"/>
      <c r="Q48" s="50"/>
      <c r="R48" s="124"/>
      <c r="S48" s="12"/>
    </row>
    <row r="49" spans="1:19" ht="15.75" thickTop="1" x14ac:dyDescent="0.25">
      <c r="A49" s="124"/>
      <c r="B49" s="124"/>
      <c r="C49" s="124"/>
      <c r="D49" s="124"/>
      <c r="H49" s="124"/>
      <c r="I49" s="124"/>
      <c r="J49" s="311"/>
      <c r="K49" s="125"/>
      <c r="L49" s="124"/>
      <c r="M49" s="125"/>
      <c r="N49" s="125"/>
      <c r="O49" s="125"/>
      <c r="P49" s="68"/>
      <c r="Q49" s="50"/>
      <c r="R49" s="124"/>
      <c r="S49" s="12"/>
    </row>
    <row r="50" spans="1:19" s="124" customFormat="1" ht="15" x14ac:dyDescent="0.25">
      <c r="A50" s="459" t="s">
        <v>56</v>
      </c>
      <c r="B50" s="459"/>
    </row>
    <row r="51" spans="1:19" ht="15.75" x14ac:dyDescent="0.25">
      <c r="A51" s="315" t="s">
        <v>467</v>
      </c>
      <c r="B51" s="315"/>
      <c r="C51" s="315"/>
      <c r="D51" s="315"/>
      <c r="E51" s="315"/>
      <c r="F51" s="315"/>
      <c r="G51" s="315"/>
      <c r="H51" s="315"/>
      <c r="I51" s="315"/>
      <c r="J51" s="315"/>
      <c r="K51" s="292" t="str">
        <f>C5</f>
        <v>FY 2022</v>
      </c>
      <c r="L51" s="315"/>
      <c r="M51" s="315"/>
      <c r="N51" s="315"/>
      <c r="O51" s="315"/>
      <c r="P51" s="315"/>
      <c r="Q51" s="315"/>
      <c r="R51" s="12"/>
      <c r="S51" s="12"/>
    </row>
    <row r="52" spans="1:19" x14ac:dyDescent="0.2">
      <c r="F52" s="11"/>
      <c r="G52" s="197"/>
      <c r="J52" s="11"/>
      <c r="K52" s="197"/>
      <c r="M52" s="197"/>
      <c r="N52" s="197"/>
      <c r="O52" s="197"/>
      <c r="P52" s="198"/>
      <c r="Q52" s="14"/>
      <c r="R52" s="12"/>
      <c r="S52" s="12"/>
    </row>
    <row r="53" spans="1:19" ht="65.25" customHeight="1" x14ac:dyDescent="0.2">
      <c r="A53" s="460" t="s">
        <v>468</v>
      </c>
      <c r="B53" s="460"/>
      <c r="C53" s="460"/>
      <c r="D53" s="460"/>
      <c r="E53" s="460"/>
      <c r="F53" s="460"/>
      <c r="G53" s="460"/>
      <c r="H53" s="460"/>
      <c r="I53" s="460"/>
      <c r="J53" s="460"/>
      <c r="K53" s="460"/>
      <c r="L53" s="460"/>
      <c r="M53" s="460"/>
      <c r="N53" s="460"/>
      <c r="O53" s="460"/>
      <c r="P53" s="460"/>
      <c r="Q53" s="460"/>
      <c r="R53" s="12"/>
      <c r="S53" s="12"/>
    </row>
    <row r="54" spans="1:19" x14ac:dyDescent="0.2">
      <c r="A54" s="199"/>
      <c r="B54" s="199"/>
      <c r="C54" s="199"/>
      <c r="D54" s="199"/>
      <c r="E54" s="199"/>
      <c r="F54" s="199"/>
      <c r="G54" s="199"/>
      <c r="H54" s="199"/>
      <c r="I54" s="199"/>
      <c r="J54" s="199"/>
      <c r="K54" s="199"/>
      <c r="L54" s="199"/>
      <c r="M54" s="199"/>
      <c r="N54" s="199"/>
      <c r="O54" s="199"/>
      <c r="P54" s="199"/>
      <c r="Q54" s="199"/>
      <c r="R54" s="12"/>
      <c r="S54" s="12"/>
    </row>
    <row r="55" spans="1:19" ht="15.75" x14ac:dyDescent="0.25">
      <c r="A55" s="461" t="s">
        <v>469</v>
      </c>
      <c r="B55" s="461"/>
      <c r="C55" s="461"/>
      <c r="D55" s="461"/>
      <c r="E55" s="461"/>
      <c r="F55" s="461"/>
      <c r="G55" s="461"/>
      <c r="H55" s="461"/>
      <c r="I55" s="461"/>
      <c r="J55" s="461"/>
      <c r="K55" s="461"/>
      <c r="L55" s="461"/>
      <c r="M55" s="461"/>
      <c r="N55" s="461"/>
      <c r="O55" s="461"/>
      <c r="P55" s="461"/>
      <c r="Q55" s="461"/>
      <c r="R55" s="12"/>
      <c r="S55" s="12"/>
    </row>
    <row r="56" spans="1:19" x14ac:dyDescent="0.2">
      <c r="A56" s="232"/>
      <c r="B56" s="232"/>
      <c r="C56" s="232"/>
      <c r="D56" s="232"/>
      <c r="E56" s="232"/>
      <c r="F56" s="232"/>
      <c r="G56" s="232"/>
      <c r="H56" s="232"/>
      <c r="I56" s="232"/>
      <c r="J56" s="232"/>
      <c r="K56" s="232"/>
      <c r="L56" s="232"/>
      <c r="M56" s="232"/>
      <c r="N56" s="232"/>
      <c r="O56" s="232"/>
      <c r="P56" s="232"/>
      <c r="Q56" s="232"/>
      <c r="R56" s="12"/>
      <c r="S56" s="12"/>
    </row>
    <row r="57" spans="1:19" ht="45" customHeight="1" x14ac:dyDescent="0.2">
      <c r="A57" s="457" t="s">
        <v>470</v>
      </c>
      <c r="B57" s="457"/>
      <c r="C57" s="457"/>
      <c r="D57" s="457"/>
      <c r="E57" s="457"/>
      <c r="F57" s="457"/>
      <c r="G57" s="457"/>
      <c r="H57" s="457"/>
      <c r="I57" s="457"/>
      <c r="J57" s="457"/>
      <c r="K57" s="457"/>
      <c r="L57" s="457"/>
      <c r="M57" s="457"/>
      <c r="N57" s="457"/>
      <c r="O57" s="457"/>
      <c r="P57" s="457"/>
      <c r="Q57" s="457"/>
      <c r="R57" s="12"/>
      <c r="S57" s="12"/>
    </row>
    <row r="58" spans="1:19" x14ac:dyDescent="0.2">
      <c r="A58" s="232"/>
      <c r="B58" s="232"/>
      <c r="C58" s="232"/>
      <c r="D58" s="232"/>
      <c r="E58" s="232"/>
      <c r="F58" s="232"/>
      <c r="G58" s="232"/>
      <c r="H58" s="232"/>
      <c r="I58" s="232"/>
      <c r="J58" s="232"/>
      <c r="K58" s="232"/>
      <c r="L58" s="232"/>
      <c r="M58" s="232"/>
      <c r="N58" s="232"/>
      <c r="O58" s="232"/>
      <c r="P58" s="232"/>
      <c r="Q58" s="232"/>
      <c r="R58" s="12"/>
      <c r="S58" s="12"/>
    </row>
    <row r="59" spans="1:19" ht="15.75" x14ac:dyDescent="0.25">
      <c r="A59" s="458" t="s">
        <v>387</v>
      </c>
      <c r="B59" s="458"/>
      <c r="C59" s="458"/>
      <c r="D59" s="458"/>
      <c r="E59" s="458"/>
      <c r="F59" s="458"/>
      <c r="G59" s="458"/>
      <c r="H59" s="458"/>
      <c r="I59" s="458"/>
      <c r="J59" s="458"/>
      <c r="K59" s="458"/>
      <c r="L59" s="458"/>
      <c r="M59" s="458"/>
      <c r="N59" s="458"/>
      <c r="O59" s="458"/>
      <c r="P59" s="458"/>
      <c r="Q59" s="458"/>
    </row>
    <row r="60" spans="1:19" ht="12.75" customHeight="1" x14ac:dyDescent="0.2">
      <c r="C60" s="203"/>
      <c r="D60" s="203"/>
      <c r="E60" s="203"/>
      <c r="F60" s="203"/>
      <c r="G60" s="203"/>
      <c r="H60" s="203"/>
      <c r="I60" s="203"/>
      <c r="J60" s="203"/>
    </row>
  </sheetData>
  <mergeCells count="5">
    <mergeCell ref="A57:Q57"/>
    <mergeCell ref="A59:Q59"/>
    <mergeCell ref="A50:B50"/>
    <mergeCell ref="A53:Q53"/>
    <mergeCell ref="A55:Q55"/>
  </mergeCells>
  <pageMargins left="0.45" right="0.45" top="0.75" bottom="0.75" header="0.3" footer="0.3"/>
  <pageSetup scale="57" orientation="portrait" r:id="rId1"/>
  <headerFooter>
    <oddFooter>&amp;L&amp;F&amp;C&amp;A&amp;RUpdated: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E619-4A4D-4434-9DB4-10DA16F7DEE8}">
  <sheetPr>
    <pageSetUpPr fitToPage="1"/>
  </sheetPr>
  <dimension ref="A1:AA56"/>
  <sheetViews>
    <sheetView zoomScaleNormal="100" workbookViewId="0">
      <pane ySplit="6" topLeftCell="A7" activePane="bottomLeft" state="frozen"/>
      <selection pane="bottomLeft" activeCell="G36" sqref="G36"/>
    </sheetView>
  </sheetViews>
  <sheetFormatPr defaultColWidth="9.140625" defaultRowHeight="12.75" x14ac:dyDescent="0.2"/>
  <cols>
    <col min="1" max="1" width="9" style="320" customWidth="1"/>
    <col min="2" max="2" width="5.85546875" style="320" customWidth="1"/>
    <col min="3" max="3" width="23.7109375" style="320" customWidth="1"/>
    <col min="4" max="4" width="18.85546875" style="320" customWidth="1"/>
    <col min="5" max="5" width="33.42578125" style="319" bestFit="1" customWidth="1"/>
    <col min="6" max="6" width="5.85546875" style="320" customWidth="1"/>
    <col min="7" max="7" width="19.42578125" style="320" customWidth="1"/>
    <col min="8" max="8" width="20" style="320" customWidth="1"/>
    <col min="9" max="16384" width="9.140625" style="320"/>
  </cols>
  <sheetData>
    <row r="1" spans="1:27" ht="18.75" x14ac:dyDescent="0.3">
      <c r="A1" s="462" t="str">
        <f>'start here-do not delete'!D29</f>
        <v>Sample Tribe</v>
      </c>
      <c r="B1" s="462"/>
      <c r="C1" s="462"/>
      <c r="D1" s="462"/>
      <c r="G1" s="321" t="s">
        <v>416</v>
      </c>
    </row>
    <row r="2" spans="1:27" ht="18.75" x14ac:dyDescent="0.3">
      <c r="A2" s="322" t="s">
        <v>422</v>
      </c>
      <c r="B2" s="322"/>
      <c r="C2" s="322"/>
      <c r="D2" s="322"/>
      <c r="G2" s="321"/>
    </row>
    <row r="3" spans="1:27" ht="18.75" x14ac:dyDescent="0.3">
      <c r="A3" s="322"/>
      <c r="B3" s="322"/>
      <c r="C3" s="322"/>
      <c r="D3" s="322"/>
      <c r="G3" s="321"/>
    </row>
    <row r="4" spans="1:27" ht="18.75" x14ac:dyDescent="0.3">
      <c r="D4" s="323" t="str">
        <f>'start here-do not delete'!D31</f>
        <v>FY 2022</v>
      </c>
      <c r="G4" s="323" t="str">
        <f>'start here-do not delete'!D32</f>
        <v>FY 2025</v>
      </c>
    </row>
    <row r="5" spans="1:27" s="327" customFormat="1" ht="19.5" thickBot="1" x14ac:dyDescent="0.35">
      <c r="A5" s="324"/>
      <c r="B5" s="324"/>
      <c r="C5" s="325"/>
      <c r="D5" s="326" t="s">
        <v>421</v>
      </c>
      <c r="F5" s="324"/>
      <c r="G5" s="328" t="s">
        <v>372</v>
      </c>
      <c r="H5" s="320"/>
      <c r="I5" s="320"/>
      <c r="J5" s="320"/>
      <c r="K5" s="320"/>
      <c r="L5" s="320"/>
      <c r="M5" s="320"/>
      <c r="N5" s="320"/>
      <c r="O5" s="320"/>
      <c r="P5" s="320"/>
      <c r="Q5" s="320"/>
      <c r="R5" s="320"/>
      <c r="S5" s="320"/>
      <c r="T5" s="320"/>
      <c r="U5" s="320"/>
      <c r="V5" s="320"/>
      <c r="W5" s="320"/>
      <c r="X5" s="320"/>
      <c r="Y5" s="320"/>
      <c r="Z5" s="320"/>
      <c r="AA5" s="320"/>
    </row>
    <row r="7" spans="1:27" ht="14.25" x14ac:dyDescent="0.2">
      <c r="A7" s="329" t="s">
        <v>373</v>
      </c>
      <c r="B7" s="329"/>
      <c r="C7" s="329"/>
    </row>
    <row r="8" spans="1:27" ht="15" x14ac:dyDescent="0.25">
      <c r="A8" s="45"/>
      <c r="B8" s="45"/>
      <c r="C8" s="45"/>
      <c r="E8" s="330"/>
      <c r="F8" s="331"/>
      <c r="G8" s="332"/>
      <c r="H8" s="45"/>
    </row>
    <row r="9" spans="1:27" ht="15" x14ac:dyDescent="0.25">
      <c r="A9" s="329" t="s">
        <v>382</v>
      </c>
      <c r="B9" s="45"/>
      <c r="C9" s="45"/>
      <c r="D9" s="329"/>
      <c r="E9" s="329"/>
      <c r="F9" s="329"/>
      <c r="G9" s="329"/>
      <c r="H9" s="329"/>
    </row>
    <row r="10" spans="1:27" ht="15" x14ac:dyDescent="0.25">
      <c r="D10" s="333" t="str">
        <f>'start here-do not delete'!D31</f>
        <v>FY 2022</v>
      </c>
      <c r="E10" s="330"/>
      <c r="F10" s="331"/>
      <c r="G10" s="333" t="str">
        <f>G4</f>
        <v>FY 2025</v>
      </c>
      <c r="H10" s="45"/>
    </row>
    <row r="11" spans="1:27" ht="15.75" thickBot="1" x14ac:dyDescent="0.3">
      <c r="A11" s="45"/>
      <c r="B11" s="45"/>
      <c r="C11" s="45"/>
      <c r="D11" s="334" t="s">
        <v>374</v>
      </c>
      <c r="E11" s="335"/>
      <c r="F11" s="331"/>
      <c r="G11" s="334" t="s">
        <v>375</v>
      </c>
      <c r="H11" s="45"/>
    </row>
    <row r="12" spans="1:27" ht="15" x14ac:dyDescent="0.25">
      <c r="A12" s="45"/>
      <c r="B12" s="45"/>
      <c r="C12" s="45"/>
      <c r="D12" s="332"/>
      <c r="E12" s="335"/>
      <c r="F12" s="331"/>
      <c r="G12" s="45"/>
      <c r="H12" s="45"/>
    </row>
    <row r="13" spans="1:27" ht="15" x14ac:dyDescent="0.25">
      <c r="A13" s="45"/>
      <c r="B13" s="45"/>
      <c r="C13" s="45"/>
      <c r="D13" s="332"/>
      <c r="E13" s="335"/>
      <c r="F13" s="331"/>
      <c r="G13" s="45"/>
      <c r="H13" s="45"/>
    </row>
    <row r="14" spans="1:27" ht="15" x14ac:dyDescent="0.25">
      <c r="A14" s="45" t="s">
        <v>376</v>
      </c>
      <c r="B14" s="45"/>
      <c r="C14" s="45"/>
      <c r="D14" s="336">
        <f>'Exh E-1 actual pool'!N67</f>
        <v>1887808</v>
      </c>
      <c r="E14" s="335" t="s">
        <v>219</v>
      </c>
      <c r="F14" s="331"/>
      <c r="G14" s="337">
        <f>'Exh E-2 proposed pool'!N67</f>
        <v>1993560</v>
      </c>
      <c r="H14" s="45" t="s">
        <v>377</v>
      </c>
    </row>
    <row r="15" spans="1:27" ht="15" x14ac:dyDescent="0.25">
      <c r="A15" s="45" t="s">
        <v>423</v>
      </c>
      <c r="B15" s="45"/>
      <c r="C15" s="45"/>
      <c r="D15" s="338">
        <f>'start here-do not delete'!D35</f>
        <v>-4575</v>
      </c>
      <c r="E15" s="335" t="s">
        <v>378</v>
      </c>
      <c r="F15" s="331"/>
      <c r="G15" s="339"/>
      <c r="H15" s="45"/>
    </row>
    <row r="16" spans="1:27" ht="15" x14ac:dyDescent="0.25">
      <c r="A16" s="45"/>
      <c r="B16" s="45"/>
      <c r="C16" s="45"/>
      <c r="D16" s="340"/>
      <c r="E16" s="335"/>
      <c r="F16" s="331"/>
      <c r="G16" s="45"/>
      <c r="H16" s="45"/>
    </row>
    <row r="17" spans="1:8" ht="15.75" thickBot="1" x14ac:dyDescent="0.3">
      <c r="A17" s="45" t="s">
        <v>132</v>
      </c>
      <c r="B17" s="45"/>
      <c r="C17" s="45"/>
      <c r="D17" s="341">
        <f>SUM(D14:D16)</f>
        <v>1883233</v>
      </c>
      <c r="E17" s="335"/>
      <c r="F17" s="342"/>
      <c r="G17" s="341">
        <f>SUM(G14:G16)</f>
        <v>1993560</v>
      </c>
      <c r="H17" s="45"/>
    </row>
    <row r="18" spans="1:8" ht="15.75" thickTop="1" x14ac:dyDescent="0.25">
      <c r="A18" s="45"/>
      <c r="B18" s="45"/>
      <c r="C18" s="45"/>
      <c r="D18" s="45"/>
      <c r="E18" s="335"/>
      <c r="F18" s="331"/>
      <c r="G18" s="45"/>
      <c r="H18" s="45"/>
    </row>
    <row r="19" spans="1:8" ht="15" x14ac:dyDescent="0.25">
      <c r="A19" s="45"/>
      <c r="B19" s="45"/>
      <c r="C19" s="45"/>
      <c r="D19" s="45"/>
      <c r="E19" s="335"/>
      <c r="F19" s="331"/>
      <c r="G19" s="45"/>
      <c r="H19" s="45"/>
    </row>
    <row r="20" spans="1:8" ht="15.75" thickBot="1" x14ac:dyDescent="0.3">
      <c r="A20" s="45" t="s">
        <v>386</v>
      </c>
      <c r="B20" s="332"/>
      <c r="C20" s="45"/>
      <c r="D20" s="343">
        <f>'Exh C actual base'!Z195+'Exh C actual base'!AB195+'Exh C actual base'!AD195</f>
        <v>15452469.639999999</v>
      </c>
      <c r="E20" s="335" t="s">
        <v>220</v>
      </c>
      <c r="F20" s="331"/>
      <c r="G20" s="343">
        <f>'Exh D proposed base'!U194+'Exh D proposed base'!W194+'Exh D proposed base'!Y194</f>
        <v>17786427</v>
      </c>
      <c r="H20" s="45" t="s">
        <v>379</v>
      </c>
    </row>
    <row r="21" spans="1:8" ht="15.75" thickTop="1" x14ac:dyDescent="0.25">
      <c r="A21" s="45"/>
      <c r="B21" s="45"/>
      <c r="C21" s="45"/>
      <c r="D21" s="45"/>
      <c r="E21" s="335"/>
      <c r="F21" s="331"/>
      <c r="G21" s="45"/>
      <c r="H21" s="45"/>
    </row>
    <row r="22" spans="1:8" ht="15" x14ac:dyDescent="0.25">
      <c r="A22" s="45"/>
      <c r="B22" s="45"/>
      <c r="C22" s="45"/>
      <c r="D22" s="45"/>
      <c r="E22" s="335"/>
      <c r="F22" s="331"/>
      <c r="G22" s="45"/>
      <c r="H22" s="45"/>
    </row>
    <row r="23" spans="1:8" ht="15.75" thickBot="1" x14ac:dyDescent="0.3">
      <c r="A23" s="45" t="s">
        <v>380</v>
      </c>
      <c r="B23" s="45"/>
      <c r="C23" s="45"/>
      <c r="D23" s="344">
        <f>ROUND(D17/D20,4)</f>
        <v>0.12189999999999999</v>
      </c>
      <c r="E23" s="342"/>
      <c r="F23" s="342"/>
      <c r="G23" s="344">
        <f>ROUND(G17/G20,4)</f>
        <v>0.11210000000000001</v>
      </c>
      <c r="H23" s="45"/>
    </row>
    <row r="24" spans="1:8" ht="13.5" thickTop="1" x14ac:dyDescent="0.2">
      <c r="F24" s="345"/>
    </row>
    <row r="25" spans="1:8" ht="15" x14ac:dyDescent="0.25">
      <c r="A25" s="329" t="s">
        <v>381</v>
      </c>
      <c r="B25" s="45"/>
      <c r="C25" s="45"/>
      <c r="D25" s="329"/>
      <c r="E25" s="329"/>
      <c r="F25" s="329"/>
      <c r="G25" s="329"/>
      <c r="H25" s="329"/>
    </row>
    <row r="26" spans="1:8" ht="15" x14ac:dyDescent="0.25">
      <c r="D26" s="333" t="str">
        <f>D4</f>
        <v>FY 2022</v>
      </c>
      <c r="E26" s="330"/>
      <c r="F26" s="331"/>
      <c r="G26" s="333" t="str">
        <f>G4</f>
        <v>FY 2025</v>
      </c>
      <c r="H26" s="45"/>
    </row>
    <row r="27" spans="1:8" ht="15.75" thickBot="1" x14ac:dyDescent="0.3">
      <c r="A27" s="45"/>
      <c r="B27" s="45"/>
      <c r="C27" s="45"/>
      <c r="D27" s="334" t="s">
        <v>374</v>
      </c>
      <c r="E27" s="335"/>
      <c r="F27" s="331"/>
      <c r="G27" s="334" t="s">
        <v>375</v>
      </c>
      <c r="H27" s="45"/>
    </row>
    <row r="28" spans="1:8" ht="15" x14ac:dyDescent="0.25">
      <c r="A28" s="45"/>
      <c r="B28" s="45"/>
      <c r="C28" s="45"/>
      <c r="D28" s="332"/>
      <c r="E28" s="335"/>
      <c r="F28" s="331"/>
      <c r="G28" s="45"/>
      <c r="H28" s="45"/>
    </row>
    <row r="29" spans="1:8" ht="15" x14ac:dyDescent="0.25">
      <c r="A29" s="45"/>
      <c r="B29" s="45"/>
      <c r="C29" s="45"/>
      <c r="D29" s="332"/>
      <c r="E29" s="335"/>
      <c r="F29" s="331"/>
      <c r="G29" s="45"/>
      <c r="H29" s="45"/>
    </row>
    <row r="30" spans="1:8" ht="15" x14ac:dyDescent="0.25">
      <c r="A30" s="45" t="s">
        <v>376</v>
      </c>
      <c r="B30" s="45"/>
      <c r="C30" s="45"/>
      <c r="D30" s="336">
        <f>'Exh E-1 actual pool'!N67</f>
        <v>1887808</v>
      </c>
      <c r="E30" s="335" t="s">
        <v>219</v>
      </c>
      <c r="F30" s="331"/>
      <c r="G30" s="337">
        <f>'Exh E-2 proposed pool'!N67</f>
        <v>1993560</v>
      </c>
      <c r="H30" s="45" t="s">
        <v>377</v>
      </c>
    </row>
    <row r="31" spans="1:8" ht="15" x14ac:dyDescent="0.25">
      <c r="A31" s="45" t="s">
        <v>423</v>
      </c>
      <c r="B31" s="45"/>
      <c r="C31" s="45"/>
      <c r="D31" s="338">
        <f>'start here-do not delete'!D35</f>
        <v>-4575</v>
      </c>
      <c r="E31" s="335" t="s">
        <v>378</v>
      </c>
      <c r="F31" s="331"/>
      <c r="G31" s="339"/>
      <c r="H31" s="45"/>
    </row>
    <row r="32" spans="1:8" ht="15" x14ac:dyDescent="0.25">
      <c r="A32" s="45"/>
      <c r="B32" s="45"/>
      <c r="C32" s="45"/>
      <c r="D32" s="340"/>
      <c r="E32" s="335"/>
      <c r="F32" s="331"/>
      <c r="G32" s="45"/>
      <c r="H32" s="45"/>
    </row>
    <row r="33" spans="1:8" ht="15.75" thickBot="1" x14ac:dyDescent="0.3">
      <c r="A33" s="45" t="s">
        <v>132</v>
      </c>
      <c r="B33" s="45"/>
      <c r="C33" s="45"/>
      <c r="D33" s="341">
        <f>SUM(D30:D32)</f>
        <v>1883233</v>
      </c>
      <c r="E33" s="335"/>
      <c r="F33" s="342"/>
      <c r="G33" s="341">
        <f>SUM(G30:G32)</f>
        <v>1993560</v>
      </c>
      <c r="H33" s="45"/>
    </row>
    <row r="34" spans="1:8" ht="15.75" thickTop="1" x14ac:dyDescent="0.25">
      <c r="A34" s="45"/>
      <c r="B34" s="45"/>
      <c r="C34" s="45"/>
      <c r="D34" s="45"/>
      <c r="E34" s="335"/>
      <c r="F34" s="331"/>
      <c r="G34" s="45"/>
      <c r="H34" s="45"/>
    </row>
    <row r="35" spans="1:8" ht="15" x14ac:dyDescent="0.25">
      <c r="A35" s="45"/>
      <c r="B35" s="45"/>
      <c r="C35" s="45"/>
      <c r="D35" s="45"/>
      <c r="E35" s="335"/>
      <c r="F35" s="331"/>
      <c r="G35" s="45"/>
      <c r="H35" s="45"/>
    </row>
    <row r="36" spans="1:8" ht="15.75" thickBot="1" x14ac:dyDescent="0.3">
      <c r="A36" s="45" t="s">
        <v>385</v>
      </c>
      <c r="B36" s="332"/>
      <c r="C36" s="45"/>
      <c r="D36" s="343">
        <f>'Exh C actual base'!Z195</f>
        <v>4128315</v>
      </c>
      <c r="E36" s="335" t="s">
        <v>220</v>
      </c>
      <c r="F36" s="331"/>
      <c r="G36" s="343">
        <f>'Exh D proposed base'!U194</f>
        <v>4541178.5</v>
      </c>
      <c r="H36" s="45" t="s">
        <v>379</v>
      </c>
    </row>
    <row r="37" spans="1:8" ht="15.75" thickTop="1" x14ac:dyDescent="0.25">
      <c r="A37" s="45"/>
      <c r="B37" s="45"/>
      <c r="C37" s="45"/>
      <c r="D37" s="45"/>
      <c r="E37" s="335"/>
      <c r="F37" s="331"/>
      <c r="G37" s="45"/>
      <c r="H37" s="45"/>
    </row>
    <row r="38" spans="1:8" ht="15" x14ac:dyDescent="0.25">
      <c r="A38" s="45"/>
      <c r="B38" s="45"/>
      <c r="C38" s="45"/>
      <c r="D38" s="45"/>
      <c r="E38" s="335"/>
      <c r="F38" s="331"/>
      <c r="G38" s="45"/>
      <c r="H38" s="45"/>
    </row>
    <row r="39" spans="1:8" ht="15.75" thickBot="1" x14ac:dyDescent="0.3">
      <c r="A39" s="45" t="s">
        <v>380</v>
      </c>
      <c r="B39" s="45"/>
      <c r="C39" s="45"/>
      <c r="D39" s="344">
        <f>ROUND(D33/D36,4)</f>
        <v>0.45619999999999999</v>
      </c>
      <c r="E39" s="342"/>
      <c r="F39" s="342"/>
      <c r="G39" s="344">
        <f>ROUND(G33/G36,4)</f>
        <v>0.439</v>
      </c>
      <c r="H39" s="45"/>
    </row>
    <row r="40" spans="1:8" ht="15.75" thickTop="1" x14ac:dyDescent="0.25">
      <c r="A40" s="45"/>
      <c r="B40" s="45"/>
      <c r="C40" s="45"/>
      <c r="D40" s="346"/>
      <c r="E40" s="342"/>
      <c r="F40" s="342"/>
      <c r="G40" s="346"/>
      <c r="H40" s="45"/>
    </row>
    <row r="41" spans="1:8" ht="15" x14ac:dyDescent="0.25">
      <c r="A41" s="329" t="s">
        <v>383</v>
      </c>
      <c r="B41" s="45"/>
      <c r="C41" s="45"/>
      <c r="D41" s="329"/>
      <c r="E41" s="329"/>
      <c r="F41" s="329"/>
      <c r="G41" s="329"/>
      <c r="H41" s="329"/>
    </row>
    <row r="42" spans="1:8" ht="15" x14ac:dyDescent="0.25">
      <c r="D42" s="333" t="str">
        <f>D4</f>
        <v>FY 2022</v>
      </c>
      <c r="E42" s="330"/>
      <c r="F42" s="331"/>
      <c r="G42" s="333" t="str">
        <f>G4</f>
        <v>FY 2025</v>
      </c>
      <c r="H42" s="45"/>
    </row>
    <row r="43" spans="1:8" ht="15.75" thickBot="1" x14ac:dyDescent="0.3">
      <c r="A43" s="45"/>
      <c r="B43" s="45"/>
      <c r="C43" s="45"/>
      <c r="D43" s="334" t="s">
        <v>374</v>
      </c>
      <c r="E43" s="335"/>
      <c r="F43" s="331"/>
      <c r="G43" s="334" t="s">
        <v>375</v>
      </c>
      <c r="H43" s="45"/>
    </row>
    <row r="44" spans="1:8" ht="15" x14ac:dyDescent="0.25">
      <c r="A44" s="45"/>
      <c r="B44" s="45"/>
      <c r="C44" s="45"/>
      <c r="D44" s="332"/>
      <c r="E44" s="335"/>
      <c r="F44" s="331"/>
      <c r="G44" s="45"/>
      <c r="H44" s="45"/>
    </row>
    <row r="45" spans="1:8" ht="15" x14ac:dyDescent="0.25">
      <c r="A45" s="45"/>
      <c r="B45" s="45"/>
      <c r="C45" s="45"/>
      <c r="D45" s="332"/>
      <c r="E45" s="335"/>
      <c r="F45" s="331"/>
      <c r="G45" s="45"/>
      <c r="H45" s="45"/>
    </row>
    <row r="46" spans="1:8" ht="15" x14ac:dyDescent="0.25">
      <c r="A46" s="45" t="s">
        <v>376</v>
      </c>
      <c r="B46" s="45"/>
      <c r="C46" s="45"/>
      <c r="D46" s="336">
        <f>'Exh E-1 actual pool'!N67</f>
        <v>1887808</v>
      </c>
      <c r="E46" s="335" t="s">
        <v>219</v>
      </c>
      <c r="F46" s="331"/>
      <c r="G46" s="337">
        <f>'Exh E-2 proposed pool'!N67</f>
        <v>1993560</v>
      </c>
      <c r="H46" s="45" t="s">
        <v>377</v>
      </c>
    </row>
    <row r="47" spans="1:8" ht="15" x14ac:dyDescent="0.25">
      <c r="A47" s="45" t="s">
        <v>423</v>
      </c>
      <c r="B47" s="45"/>
      <c r="C47" s="45"/>
      <c r="D47" s="338">
        <f>'start here-do not delete'!D35</f>
        <v>-4575</v>
      </c>
      <c r="E47" s="335" t="s">
        <v>378</v>
      </c>
      <c r="F47" s="331"/>
      <c r="G47" s="339"/>
      <c r="H47" s="45"/>
    </row>
    <row r="48" spans="1:8" ht="15" x14ac:dyDescent="0.25">
      <c r="A48" s="45"/>
      <c r="B48" s="45"/>
      <c r="C48" s="45"/>
      <c r="D48" s="340"/>
      <c r="E48" s="335"/>
      <c r="F48" s="331"/>
      <c r="G48" s="45"/>
      <c r="H48" s="45"/>
    </row>
    <row r="49" spans="1:8" ht="15.75" thickBot="1" x14ac:dyDescent="0.3">
      <c r="A49" s="45" t="s">
        <v>132</v>
      </c>
      <c r="B49" s="45"/>
      <c r="C49" s="45"/>
      <c r="D49" s="341">
        <f>SUM(D46:D48)</f>
        <v>1883233</v>
      </c>
      <c r="E49" s="335"/>
      <c r="F49" s="342"/>
      <c r="G49" s="341">
        <f>SUM(G46:G48)</f>
        <v>1993560</v>
      </c>
      <c r="H49" s="45"/>
    </row>
    <row r="50" spans="1:8" ht="15.75" thickTop="1" x14ac:dyDescent="0.25">
      <c r="A50" s="45"/>
      <c r="B50" s="45"/>
      <c r="C50" s="45"/>
      <c r="D50" s="45"/>
      <c r="E50" s="335"/>
      <c r="F50" s="331"/>
      <c r="G50" s="45"/>
      <c r="H50" s="45"/>
    </row>
    <row r="51" spans="1:8" ht="15" x14ac:dyDescent="0.25">
      <c r="A51" s="45"/>
      <c r="B51" s="45"/>
      <c r="C51" s="45"/>
      <c r="D51" s="45"/>
      <c r="E51" s="335"/>
      <c r="F51" s="331"/>
      <c r="G51" s="45"/>
      <c r="H51" s="45"/>
    </row>
    <row r="52" spans="1:8" ht="15.75" thickBot="1" x14ac:dyDescent="0.3">
      <c r="A52" s="45" t="s">
        <v>384</v>
      </c>
      <c r="B52" s="332"/>
      <c r="C52" s="45"/>
      <c r="D52" s="343">
        <f>'Exh C actual base'!Z195+'Exh C actual base'!AB195</f>
        <v>5490660.1074999999</v>
      </c>
      <c r="E52" s="335" t="s">
        <v>220</v>
      </c>
      <c r="F52" s="331"/>
      <c r="G52" s="343">
        <f>'Exh D proposed base'!U194+'Exh D proposed base'!W194</f>
        <v>6044499.9550000001</v>
      </c>
      <c r="H52" s="45" t="s">
        <v>379</v>
      </c>
    </row>
    <row r="53" spans="1:8" ht="15.75" thickTop="1" x14ac:dyDescent="0.25">
      <c r="A53" s="45"/>
      <c r="B53" s="45"/>
      <c r="C53" s="45"/>
      <c r="D53" s="45"/>
      <c r="E53" s="335"/>
      <c r="F53" s="331"/>
      <c r="G53" s="45"/>
      <c r="H53" s="45"/>
    </row>
    <row r="54" spans="1:8" ht="15" x14ac:dyDescent="0.25">
      <c r="A54" s="45"/>
      <c r="B54" s="45"/>
      <c r="C54" s="45"/>
      <c r="D54" s="45"/>
      <c r="E54" s="335"/>
      <c r="F54" s="331"/>
      <c r="G54" s="45"/>
      <c r="H54" s="45"/>
    </row>
    <row r="55" spans="1:8" ht="15.75" thickBot="1" x14ac:dyDescent="0.3">
      <c r="A55" s="45" t="s">
        <v>380</v>
      </c>
      <c r="B55" s="45"/>
      <c r="C55" s="45"/>
      <c r="D55" s="344">
        <f>ROUND(D49/D52,4)</f>
        <v>0.34300000000000003</v>
      </c>
      <c r="E55" s="342"/>
      <c r="F55" s="342"/>
      <c r="G55" s="344">
        <f>ROUND(G49/G52,4)</f>
        <v>0.32979999999999998</v>
      </c>
      <c r="H55" s="45"/>
    </row>
    <row r="56" spans="1:8" ht="13.5" thickTop="1" x14ac:dyDescent="0.2">
      <c r="F56" s="345"/>
    </row>
  </sheetData>
  <mergeCells count="1">
    <mergeCell ref="A1:D1"/>
  </mergeCells>
  <printOptions headings="1"/>
  <pageMargins left="0.5" right="0.5" top="1" bottom="1" header="0.5" footer="0.5"/>
  <pageSetup scale="69" orientation="portrait" r:id="rId1"/>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zoomScaleNormal="100" workbookViewId="0">
      <selection activeCell="F19" sqref="F19"/>
    </sheetView>
  </sheetViews>
  <sheetFormatPr defaultRowHeight="15" x14ac:dyDescent="0.25"/>
  <cols>
    <col min="1" max="1" width="19.85546875" customWidth="1"/>
    <col min="3" max="3" width="0.5703125" customWidth="1"/>
    <col min="4" max="4" width="10.7109375" customWidth="1"/>
    <col min="6" max="6" width="10.5703125" customWidth="1"/>
  </cols>
  <sheetData>
    <row r="1" spans="1:9" x14ac:dyDescent="0.25">
      <c r="A1" s="434" t="s">
        <v>265</v>
      </c>
      <c r="B1" s="434"/>
      <c r="C1" s="434"/>
      <c r="D1" s="434"/>
      <c r="E1" s="434"/>
      <c r="F1" s="434"/>
      <c r="G1" s="434"/>
      <c r="H1" s="434"/>
      <c r="I1" s="434"/>
    </row>
    <row r="2" spans="1:9" ht="27" customHeight="1" x14ac:dyDescent="0.25">
      <c r="A2" s="434"/>
      <c r="B2" s="434"/>
      <c r="C2" s="434"/>
      <c r="D2" s="434"/>
      <c r="E2" s="434"/>
      <c r="F2" s="434"/>
      <c r="G2" s="434"/>
      <c r="H2" s="434"/>
      <c r="I2" s="434"/>
    </row>
    <row r="4" spans="1:9" x14ac:dyDescent="0.25">
      <c r="A4" s="219" t="s">
        <v>266</v>
      </c>
      <c r="B4" s="436" t="str">
        <f>'start here-do not delete'!D29</f>
        <v>Sample Tribe</v>
      </c>
      <c r="C4" s="436"/>
      <c r="D4" s="436"/>
      <c r="E4" s="436"/>
      <c r="F4" s="436"/>
      <c r="G4" s="220"/>
      <c r="H4" s="220"/>
      <c r="I4" s="220"/>
    </row>
    <row r="5" spans="1:9" x14ac:dyDescent="0.25">
      <c r="A5" s="220"/>
      <c r="B5" s="221"/>
      <c r="C5" s="221"/>
      <c r="D5" s="220"/>
      <c r="E5" s="220"/>
      <c r="F5" s="220"/>
      <c r="G5" s="220"/>
      <c r="H5" s="220"/>
      <c r="I5" s="220"/>
    </row>
    <row r="6" spans="1:9" x14ac:dyDescent="0.25">
      <c r="A6" s="219" t="s">
        <v>267</v>
      </c>
      <c r="B6" s="222" t="str">
        <f>'start here-do not delete'!D32</f>
        <v>FY 2025</v>
      </c>
      <c r="C6" s="229"/>
      <c r="D6" s="220"/>
      <c r="E6" s="220"/>
      <c r="F6" s="220"/>
      <c r="G6" s="220"/>
      <c r="H6" s="220"/>
      <c r="I6" s="220"/>
    </row>
    <row r="7" spans="1:9" x14ac:dyDescent="0.25">
      <c r="A7" s="220"/>
      <c r="B7" s="221"/>
      <c r="C7" s="221"/>
      <c r="D7" s="220"/>
      <c r="E7" s="220"/>
      <c r="F7" s="220"/>
      <c r="G7" s="220"/>
      <c r="H7" s="220"/>
      <c r="I7" s="220"/>
    </row>
    <row r="8" spans="1:9" x14ac:dyDescent="0.25">
      <c r="A8" s="219" t="s">
        <v>268</v>
      </c>
      <c r="B8" s="221"/>
      <c r="C8" s="221"/>
      <c r="D8" s="220"/>
      <c r="E8" s="220"/>
      <c r="F8" s="220"/>
      <c r="G8" s="220"/>
      <c r="H8" s="220"/>
      <c r="I8" s="220"/>
    </row>
    <row r="9" spans="1:9" x14ac:dyDescent="0.25">
      <c r="A9" s="219"/>
      <c r="B9" s="221"/>
      <c r="C9" s="221"/>
      <c r="D9" s="220"/>
      <c r="E9" s="220"/>
      <c r="F9" s="220"/>
      <c r="G9" s="220"/>
      <c r="H9" s="220"/>
      <c r="I9" s="220"/>
    </row>
    <row r="10" spans="1:9" x14ac:dyDescent="0.25">
      <c r="A10" s="219"/>
      <c r="B10" s="252" t="s">
        <v>480</v>
      </c>
      <c r="C10" s="391"/>
      <c r="D10" s="219" t="s">
        <v>269</v>
      </c>
      <c r="E10" s="220"/>
      <c r="F10" s="224"/>
      <c r="G10" s="220"/>
      <c r="H10" s="220"/>
      <c r="I10" s="220"/>
    </row>
    <row r="11" spans="1:9" x14ac:dyDescent="0.25">
      <c r="A11" s="219"/>
      <c r="B11" s="221"/>
      <c r="C11" s="221"/>
      <c r="D11" s="220"/>
      <c r="E11" s="220"/>
      <c r="F11" s="220"/>
      <c r="G11" s="220"/>
      <c r="H11" s="220"/>
      <c r="I11" s="220"/>
    </row>
    <row r="12" spans="1:9" x14ac:dyDescent="0.25">
      <c r="A12" s="219"/>
      <c r="B12" s="223"/>
      <c r="C12" s="229"/>
      <c r="D12" s="219" t="s">
        <v>270</v>
      </c>
      <c r="E12" s="220"/>
      <c r="F12" s="220"/>
      <c r="G12" s="220"/>
      <c r="H12" s="220"/>
      <c r="I12" s="220"/>
    </row>
    <row r="13" spans="1:9" x14ac:dyDescent="0.25">
      <c r="A13" s="219"/>
      <c r="B13" s="221"/>
      <c r="C13" s="221"/>
      <c r="D13" s="220"/>
      <c r="E13" s="220"/>
      <c r="F13" s="220"/>
      <c r="G13" s="220"/>
      <c r="H13" s="220"/>
      <c r="I13" s="220"/>
    </row>
    <row r="14" spans="1:9" x14ac:dyDescent="0.25">
      <c r="A14" s="219"/>
      <c r="B14" s="223"/>
      <c r="C14" s="229"/>
      <c r="D14" s="219" t="s">
        <v>271</v>
      </c>
      <c r="E14" s="220"/>
      <c r="F14" s="220"/>
      <c r="G14" s="220"/>
      <c r="H14" s="220"/>
      <c r="I14" s="220"/>
    </row>
    <row r="15" spans="1:9" x14ac:dyDescent="0.25">
      <c r="A15" s="219"/>
      <c r="B15" s="221"/>
      <c r="C15" s="221"/>
      <c r="D15" s="220"/>
      <c r="E15" s="220"/>
      <c r="F15" s="220"/>
      <c r="G15" s="220"/>
      <c r="H15" s="220"/>
      <c r="I15" s="220"/>
    </row>
    <row r="16" spans="1:9" x14ac:dyDescent="0.25">
      <c r="A16" s="219"/>
      <c r="B16" s="223"/>
      <c r="C16" s="229"/>
      <c r="D16" s="219" t="s">
        <v>272</v>
      </c>
      <c r="E16" s="220"/>
      <c r="F16" s="220"/>
      <c r="G16" s="220"/>
      <c r="H16" s="220"/>
      <c r="I16" s="220"/>
    </row>
    <row r="17" spans="1:9" x14ac:dyDescent="0.25">
      <c r="A17" s="219"/>
      <c r="B17" s="221"/>
      <c r="C17" s="221"/>
      <c r="D17" s="220"/>
      <c r="E17" s="220"/>
      <c r="F17" s="220"/>
      <c r="G17" s="220"/>
      <c r="H17" s="220"/>
      <c r="I17" s="220"/>
    </row>
    <row r="18" spans="1:9" x14ac:dyDescent="0.25">
      <c r="A18" s="219" t="s">
        <v>273</v>
      </c>
      <c r="B18" s="225" t="s">
        <v>274</v>
      </c>
      <c r="C18" s="225"/>
      <c r="D18" s="226">
        <v>45658</v>
      </c>
      <c r="E18" s="225" t="s">
        <v>275</v>
      </c>
      <c r="F18" s="226">
        <v>46022</v>
      </c>
      <c r="G18" s="220"/>
      <c r="H18" s="220"/>
      <c r="I18" s="220"/>
    </row>
    <row r="19" spans="1:9" x14ac:dyDescent="0.25">
      <c r="A19" s="220"/>
      <c r="B19" s="221"/>
      <c r="C19" s="221"/>
      <c r="D19" s="220"/>
      <c r="E19" s="220"/>
      <c r="F19" s="220"/>
      <c r="G19" s="220"/>
      <c r="H19" s="220"/>
      <c r="I19" s="220"/>
    </row>
    <row r="20" spans="1:9" ht="15.75" x14ac:dyDescent="0.25">
      <c r="A20" s="350" t="s">
        <v>276</v>
      </c>
      <c r="B20" s="221"/>
      <c r="C20" s="221"/>
      <c r="D20" s="72" t="s">
        <v>311</v>
      </c>
      <c r="E20" s="220"/>
      <c r="F20" s="220"/>
      <c r="G20" s="220"/>
      <c r="H20" s="220"/>
      <c r="I20" s="220"/>
    </row>
    <row r="21" spans="1:9" x14ac:dyDescent="0.25">
      <c r="A21" s="219"/>
      <c r="B21" s="221"/>
      <c r="C21" s="221"/>
      <c r="D21" s="220"/>
      <c r="E21" s="220"/>
      <c r="F21" s="220"/>
      <c r="G21" s="220"/>
      <c r="H21" s="220"/>
      <c r="I21" s="220"/>
    </row>
    <row r="22" spans="1:9" x14ac:dyDescent="0.25">
      <c r="A22" s="219"/>
      <c r="B22" s="252"/>
      <c r="C22" s="391"/>
      <c r="D22" s="426" t="s">
        <v>286</v>
      </c>
      <c r="E22" s="426"/>
      <c r="F22" s="426"/>
      <c r="G22" s="426"/>
      <c r="H22" s="426"/>
      <c r="I22" s="426"/>
    </row>
    <row r="23" spans="1:9" ht="53.25" customHeight="1" x14ac:dyDescent="0.25">
      <c r="A23" s="219"/>
      <c r="B23" s="221"/>
      <c r="C23" s="221"/>
      <c r="D23" s="426"/>
      <c r="E23" s="426"/>
      <c r="F23" s="426"/>
      <c r="G23" s="426"/>
      <c r="H23" s="426"/>
      <c r="I23" s="426"/>
    </row>
    <row r="24" spans="1:9" x14ac:dyDescent="0.25">
      <c r="A24" s="219"/>
      <c r="B24" s="221"/>
      <c r="C24" s="221"/>
      <c r="D24" s="220"/>
      <c r="E24" s="220"/>
      <c r="F24" s="220"/>
      <c r="G24" s="220"/>
      <c r="H24" s="220"/>
      <c r="I24" s="220"/>
    </row>
    <row r="25" spans="1:9" x14ac:dyDescent="0.25">
      <c r="A25" s="219"/>
      <c r="B25" s="223"/>
      <c r="C25" s="229"/>
      <c r="D25" s="435" t="s">
        <v>285</v>
      </c>
      <c r="E25" s="435"/>
      <c r="F25" s="435"/>
      <c r="G25" s="435"/>
      <c r="H25" s="435"/>
      <c r="I25" s="435"/>
    </row>
    <row r="26" spans="1:9" ht="114" customHeight="1" x14ac:dyDescent="0.25">
      <c r="A26" s="219"/>
      <c r="B26" s="221"/>
      <c r="C26" s="221"/>
      <c r="D26" s="435"/>
      <c r="E26" s="435"/>
      <c r="F26" s="435"/>
      <c r="G26" s="435"/>
      <c r="H26" s="435"/>
      <c r="I26" s="435"/>
    </row>
    <row r="27" spans="1:9" x14ac:dyDescent="0.25">
      <c r="A27" s="219"/>
      <c r="B27" s="221"/>
      <c r="C27" s="221"/>
      <c r="D27" s="220"/>
      <c r="E27" s="220"/>
      <c r="F27" s="220"/>
      <c r="G27" s="220"/>
      <c r="H27" s="220"/>
      <c r="I27" s="220"/>
    </row>
    <row r="28" spans="1:9" x14ac:dyDescent="0.25">
      <c r="A28" s="219"/>
      <c r="B28" s="252" t="s">
        <v>480</v>
      </c>
      <c r="C28" s="229"/>
      <c r="D28" s="426" t="s">
        <v>287</v>
      </c>
      <c r="E28" s="426"/>
      <c r="F28" s="426"/>
      <c r="G28" s="426"/>
      <c r="H28" s="426"/>
      <c r="I28" s="426"/>
    </row>
    <row r="29" spans="1:9" ht="96.75" customHeight="1" x14ac:dyDescent="0.25">
      <c r="A29" s="219"/>
      <c r="B29" s="221"/>
      <c r="C29" s="221"/>
      <c r="D29" s="426"/>
      <c r="E29" s="426"/>
      <c r="F29" s="426"/>
      <c r="G29" s="426"/>
      <c r="H29" s="426"/>
      <c r="I29" s="426"/>
    </row>
    <row r="30" spans="1:9" x14ac:dyDescent="0.25">
      <c r="A30" s="219"/>
      <c r="B30" s="221"/>
      <c r="C30" s="221"/>
      <c r="D30" s="220"/>
      <c r="E30" s="220"/>
      <c r="F30" s="220"/>
      <c r="G30" s="220"/>
      <c r="H30" s="220"/>
      <c r="I30" s="220"/>
    </row>
    <row r="31" spans="1:9" x14ac:dyDescent="0.25">
      <c r="A31" s="219"/>
      <c r="B31" s="223"/>
      <c r="C31" s="229"/>
      <c r="D31" s="426" t="s">
        <v>288</v>
      </c>
      <c r="E31" s="426"/>
      <c r="F31" s="426"/>
      <c r="G31" s="426"/>
      <c r="H31" s="426"/>
      <c r="I31" s="426"/>
    </row>
    <row r="32" spans="1:9" ht="81" customHeight="1" x14ac:dyDescent="0.25">
      <c r="A32" s="219"/>
      <c r="B32" s="221"/>
      <c r="C32" s="221"/>
      <c r="D32" s="426"/>
      <c r="E32" s="426"/>
      <c r="F32" s="426"/>
      <c r="G32" s="426"/>
      <c r="H32" s="426"/>
      <c r="I32" s="426"/>
    </row>
    <row r="33" spans="1:9" x14ac:dyDescent="0.25">
      <c r="A33" s="220"/>
      <c r="B33" s="221"/>
      <c r="C33" s="221"/>
      <c r="D33" s="220"/>
      <c r="E33" s="220"/>
      <c r="F33" s="220"/>
      <c r="G33" s="220"/>
      <c r="H33" s="220"/>
      <c r="I33" s="220"/>
    </row>
    <row r="34" spans="1:9" x14ac:dyDescent="0.25">
      <c r="A34" s="219" t="s">
        <v>277</v>
      </c>
      <c r="B34" s="221"/>
      <c r="C34" s="221"/>
      <c r="D34" s="220"/>
      <c r="E34" s="220"/>
      <c r="F34" s="220"/>
      <c r="G34" s="220"/>
      <c r="H34" s="220"/>
      <c r="I34" s="220"/>
    </row>
    <row r="35" spans="1:9" x14ac:dyDescent="0.25">
      <c r="A35" s="219"/>
      <c r="B35" s="221"/>
      <c r="C35" s="221"/>
      <c r="D35" s="220"/>
      <c r="E35" s="220"/>
      <c r="F35" s="220"/>
      <c r="G35" s="220"/>
      <c r="H35" s="220"/>
      <c r="I35" s="220"/>
    </row>
    <row r="36" spans="1:9" x14ac:dyDescent="0.25">
      <c r="A36" s="220"/>
      <c r="B36" s="252" t="s">
        <v>480</v>
      </c>
      <c r="C36" s="391"/>
      <c r="D36" s="219" t="s">
        <v>278</v>
      </c>
      <c r="E36" s="227"/>
      <c r="F36" s="227"/>
      <c r="G36" s="220"/>
      <c r="H36" s="220"/>
      <c r="I36" s="220"/>
    </row>
    <row r="37" spans="1:9" x14ac:dyDescent="0.25">
      <c r="A37" s="219"/>
      <c r="B37" s="221"/>
      <c r="C37" s="221"/>
      <c r="D37" s="220"/>
      <c r="E37" s="220"/>
      <c r="F37" s="220"/>
      <c r="G37" s="220"/>
      <c r="H37" s="220"/>
      <c r="I37" s="220"/>
    </row>
    <row r="38" spans="1:9" x14ac:dyDescent="0.25">
      <c r="A38" s="220"/>
      <c r="B38" s="223"/>
      <c r="C38" s="229"/>
      <c r="D38" s="219" t="s">
        <v>279</v>
      </c>
      <c r="E38" s="228"/>
      <c r="F38" s="228"/>
      <c r="G38" s="220"/>
      <c r="H38" s="220"/>
      <c r="I38" s="220"/>
    </row>
    <row r="39" spans="1:9" x14ac:dyDescent="0.25">
      <c r="A39" s="219"/>
      <c r="B39" s="221"/>
      <c r="C39" s="221"/>
      <c r="D39" s="220"/>
      <c r="E39" s="220"/>
      <c r="F39" s="220"/>
      <c r="G39" s="220"/>
      <c r="H39" s="220"/>
      <c r="I39" s="220"/>
    </row>
    <row r="40" spans="1:9" x14ac:dyDescent="0.25">
      <c r="A40" s="220"/>
      <c r="B40" s="223"/>
      <c r="C40" s="229"/>
      <c r="D40" s="219" t="s">
        <v>279</v>
      </c>
      <c r="E40" s="228"/>
      <c r="F40" s="228"/>
      <c r="G40" s="220"/>
      <c r="H40" s="220"/>
      <c r="I40" s="220"/>
    </row>
    <row r="41" spans="1:9" x14ac:dyDescent="0.25">
      <c r="A41" s="220"/>
      <c r="B41" s="229"/>
      <c r="C41" s="229"/>
      <c r="D41" s="219"/>
      <c r="E41" s="227"/>
      <c r="F41" s="227"/>
      <c r="G41" s="220"/>
      <c r="H41" s="220"/>
      <c r="I41" s="220"/>
    </row>
  </sheetData>
  <mergeCells count="6">
    <mergeCell ref="A1:I2"/>
    <mergeCell ref="D22:I23"/>
    <mergeCell ref="D25:I26"/>
    <mergeCell ref="D28:I29"/>
    <mergeCell ref="D31:I32"/>
    <mergeCell ref="B4:F4"/>
  </mergeCells>
  <pageMargins left="0.45" right="0.45" top="0.75" bottom="0.75" header="0.3" footer="0.3"/>
  <pageSetup scale="82"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235"/>
  <sheetViews>
    <sheetView zoomScaleNormal="100" workbookViewId="0">
      <pane ySplit="9" topLeftCell="A173" activePane="bottomLeft" state="frozen"/>
      <selection pane="bottomLeft" activeCell="B2" sqref="B2"/>
    </sheetView>
  </sheetViews>
  <sheetFormatPr defaultColWidth="9.140625" defaultRowHeight="13.5" customHeight="1" x14ac:dyDescent="0.2"/>
  <cols>
    <col min="1" max="1" width="6.85546875" style="6" customWidth="1"/>
    <col min="2" max="2" width="3.7109375" style="6" customWidth="1"/>
    <col min="3" max="3" width="8.140625" style="6" customWidth="1"/>
    <col min="4" max="4" width="34.42578125" style="6" customWidth="1"/>
    <col min="5" max="5" width="6.140625" style="6" customWidth="1"/>
    <col min="6" max="6" width="16.5703125" style="6" bestFit="1" customWidth="1"/>
    <col min="7" max="7" width="3" style="6" customWidth="1"/>
    <col min="8" max="8" width="14.85546875" style="6" customWidth="1"/>
    <col min="9" max="9" width="2.5703125" style="6" customWidth="1"/>
    <col min="10" max="10" width="14.85546875" style="6" customWidth="1"/>
    <col min="11" max="11" width="1.7109375" style="6" customWidth="1"/>
    <col min="12" max="12" width="11.7109375" style="6" customWidth="1"/>
    <col min="13" max="13" width="1.7109375" style="6" customWidth="1"/>
    <col min="14" max="14" width="14.7109375" style="6" customWidth="1"/>
    <col min="15" max="15" width="1.7109375" style="6" customWidth="1"/>
    <col min="16" max="16" width="12.140625" style="6" customWidth="1"/>
    <col min="17" max="17" width="1.7109375" style="6" customWidth="1"/>
    <col min="18" max="18" width="12.5703125" style="6" customWidth="1"/>
    <col min="19" max="19" width="3" style="6" customWidth="1"/>
    <col min="20" max="20" width="12" style="6" customWidth="1"/>
    <col min="21" max="21" width="1.7109375" style="6" customWidth="1"/>
    <col min="22" max="22" width="10.7109375" style="6" customWidth="1"/>
    <col min="23" max="23" width="1.7109375" style="6" customWidth="1"/>
    <col min="24" max="24" width="13" style="6" customWidth="1"/>
    <col min="25" max="25" width="1.7109375" style="5" customWidth="1"/>
    <col min="26" max="26" width="13.7109375" style="6" customWidth="1"/>
    <col min="27" max="27" width="1.7109375" style="5" customWidth="1"/>
    <col min="28" max="28" width="13.7109375" style="5" customWidth="1"/>
    <col min="29" max="29" width="1.7109375" style="5" customWidth="1"/>
    <col min="30" max="30" width="14.7109375" style="5" customWidth="1"/>
    <col min="31" max="31" width="1.7109375" style="6" customWidth="1"/>
    <col min="32" max="32" width="13.140625" style="5" customWidth="1"/>
    <col min="33" max="33" width="8.85546875" style="5" customWidth="1"/>
    <col min="34" max="43" width="9.140625" style="5"/>
    <col min="44" max="16384" width="9.140625" style="6"/>
  </cols>
  <sheetData>
    <row r="1" spans="1:33" ht="18.75" x14ac:dyDescent="0.3">
      <c r="B1" s="259" t="str">
        <f>'start here-do not delete'!D29</f>
        <v>Sample Tribe</v>
      </c>
      <c r="C1" s="259"/>
      <c r="D1" s="259"/>
      <c r="E1" s="33"/>
      <c r="F1" s="33"/>
      <c r="G1" s="33"/>
      <c r="H1" s="33"/>
      <c r="I1" s="33"/>
      <c r="J1" s="33"/>
      <c r="K1" s="33"/>
      <c r="L1" s="33"/>
      <c r="M1" s="33"/>
      <c r="N1" s="33"/>
      <c r="O1" s="33"/>
      <c r="P1" s="33"/>
      <c r="Q1" s="33"/>
      <c r="R1" s="33"/>
      <c r="S1" s="33"/>
      <c r="T1" s="33"/>
      <c r="U1" s="33"/>
      <c r="V1" s="33"/>
      <c r="W1" s="33"/>
      <c r="X1" s="33"/>
      <c r="Y1" s="69"/>
      <c r="AA1" s="69"/>
      <c r="AC1" s="69"/>
      <c r="AD1" s="79" t="s">
        <v>123</v>
      </c>
      <c r="AE1" s="33"/>
    </row>
    <row r="2" spans="1:33" ht="18" customHeight="1" x14ac:dyDescent="0.3">
      <c r="B2" s="259" t="str">
        <f>'start here-do not delete'!D31</f>
        <v>FY 2022</v>
      </c>
      <c r="C2" s="259"/>
      <c r="D2" s="78" t="s">
        <v>404</v>
      </c>
      <c r="E2" s="78"/>
      <c r="F2" s="33"/>
      <c r="G2" s="33"/>
      <c r="H2" s="33"/>
      <c r="I2" s="33"/>
      <c r="J2" s="33"/>
      <c r="K2" s="33"/>
      <c r="L2" s="33"/>
      <c r="M2" s="33"/>
      <c r="N2" s="33"/>
      <c r="O2" s="33"/>
      <c r="P2" s="33"/>
      <c r="Q2" s="33"/>
      <c r="R2" s="33"/>
      <c r="S2" s="33"/>
      <c r="T2" s="33"/>
      <c r="U2" s="33"/>
      <c r="V2" s="33"/>
      <c r="W2" s="33"/>
      <c r="X2" s="33"/>
      <c r="Y2" s="69"/>
      <c r="Z2" s="33"/>
      <c r="AA2" s="69"/>
      <c r="AC2" s="69"/>
      <c r="AE2" s="33"/>
    </row>
    <row r="3" spans="1:33" ht="18" customHeight="1" thickBot="1" x14ac:dyDescent="0.3">
      <c r="A3" s="2"/>
      <c r="B3" s="2"/>
      <c r="C3" s="2"/>
      <c r="D3" s="51"/>
      <c r="E3" s="51"/>
      <c r="F3" s="42"/>
      <c r="G3" s="42"/>
      <c r="H3" s="42"/>
      <c r="I3" s="42"/>
      <c r="J3" s="42"/>
      <c r="K3" s="42"/>
      <c r="L3" s="37"/>
      <c r="M3" s="302"/>
      <c r="N3" s="37"/>
      <c r="O3" s="302"/>
      <c r="P3" s="302"/>
      <c r="Q3" s="302"/>
      <c r="R3" s="37" t="s">
        <v>26</v>
      </c>
      <c r="S3" s="302"/>
      <c r="T3" s="37"/>
      <c r="U3" s="302"/>
      <c r="V3" s="37"/>
      <c r="W3" s="302"/>
      <c r="X3" s="37"/>
      <c r="Y3" s="36"/>
      <c r="Z3" s="437" t="s">
        <v>76</v>
      </c>
      <c r="AA3" s="437"/>
      <c r="AB3" s="437"/>
      <c r="AC3" s="437"/>
      <c r="AD3" s="437"/>
      <c r="AE3" s="5"/>
    </row>
    <row r="4" spans="1:33" ht="18" customHeight="1" x14ac:dyDescent="0.25">
      <c r="A4" s="2"/>
      <c r="B4" s="2"/>
      <c r="C4" s="2"/>
      <c r="D4" s="51"/>
      <c r="E4" s="51"/>
      <c r="F4" s="42"/>
      <c r="G4" s="42"/>
      <c r="H4" s="42"/>
      <c r="I4" s="42"/>
      <c r="J4" s="42"/>
      <c r="K4" s="42"/>
      <c r="L4" s="36"/>
      <c r="M4" s="42"/>
      <c r="N4" s="36"/>
      <c r="O4" s="42"/>
      <c r="P4" s="42"/>
      <c r="Q4" s="42"/>
      <c r="R4" s="36"/>
      <c r="S4" s="42"/>
      <c r="T4" s="36"/>
      <c r="U4" s="42"/>
      <c r="V4" s="36"/>
      <c r="W4" s="42"/>
      <c r="X4" s="36"/>
      <c r="Y4" s="36"/>
      <c r="Z4" s="36"/>
      <c r="AA4" s="36"/>
      <c r="AC4" s="36"/>
      <c r="AE4" s="42"/>
    </row>
    <row r="5" spans="1:33" ht="18" customHeight="1" x14ac:dyDescent="0.25">
      <c r="A5" s="34"/>
      <c r="B5" s="34"/>
      <c r="C5" s="34"/>
      <c r="D5" s="35"/>
      <c r="E5" s="35"/>
      <c r="F5" s="35" t="str">
        <f>B2</f>
        <v>FY 2022</v>
      </c>
      <c r="G5" s="35"/>
      <c r="H5" s="35" t="s">
        <v>328</v>
      </c>
      <c r="I5" s="36"/>
      <c r="J5" s="35" t="s">
        <v>420</v>
      </c>
      <c r="K5" s="36"/>
      <c r="L5" s="34"/>
      <c r="M5" s="36"/>
      <c r="N5" s="35" t="s">
        <v>29</v>
      </c>
      <c r="O5" s="36"/>
      <c r="P5" s="35"/>
      <c r="Q5" s="36"/>
      <c r="R5" s="35" t="s">
        <v>537</v>
      </c>
      <c r="S5" s="414" t="s">
        <v>538</v>
      </c>
      <c r="T5" s="36"/>
      <c r="U5" s="36"/>
      <c r="V5" s="36" t="s">
        <v>30</v>
      </c>
      <c r="W5" s="36"/>
      <c r="X5" s="36" t="s">
        <v>0</v>
      </c>
      <c r="Y5" s="36"/>
      <c r="Z5" s="51"/>
      <c r="AA5" s="36"/>
      <c r="AB5" s="15"/>
      <c r="AC5" s="36"/>
      <c r="AE5" s="36"/>
      <c r="AG5" s="15"/>
    </row>
    <row r="6" spans="1:33" ht="14.45" customHeight="1" x14ac:dyDescent="0.2">
      <c r="A6" s="34"/>
      <c r="B6" s="34"/>
      <c r="C6" s="34"/>
      <c r="D6" s="35"/>
      <c r="E6" s="35" t="s">
        <v>194</v>
      </c>
      <c r="F6" s="35" t="s">
        <v>28</v>
      </c>
      <c r="G6" s="35"/>
      <c r="H6" s="35" t="s">
        <v>329</v>
      </c>
      <c r="I6" s="36"/>
      <c r="J6" s="35" t="str">
        <f>F5</f>
        <v>FY 2022</v>
      </c>
      <c r="K6" s="36"/>
      <c r="L6" s="34"/>
      <c r="M6" s="36"/>
      <c r="N6" s="35" t="s">
        <v>33</v>
      </c>
      <c r="O6" s="36"/>
      <c r="P6" s="36" t="s">
        <v>0</v>
      </c>
      <c r="Q6" s="36"/>
      <c r="R6" s="35" t="s">
        <v>34</v>
      </c>
      <c r="S6" s="36"/>
      <c r="T6" s="34" t="s">
        <v>35</v>
      </c>
      <c r="U6" s="36"/>
      <c r="V6" s="35" t="s">
        <v>36</v>
      </c>
      <c r="W6" s="36"/>
      <c r="X6" s="36" t="s">
        <v>27</v>
      </c>
      <c r="Y6" s="36"/>
      <c r="Z6" s="438" t="str">
        <f>+F5</f>
        <v>FY 2022</v>
      </c>
      <c r="AA6" s="438"/>
      <c r="AB6" s="438"/>
      <c r="AC6" s="438"/>
      <c r="AD6" s="438"/>
      <c r="AE6" s="36"/>
      <c r="AG6" s="15"/>
    </row>
    <row r="7" spans="1:33" ht="13.5" customHeight="1" x14ac:dyDescent="0.2">
      <c r="A7" s="34"/>
      <c r="B7" s="34"/>
      <c r="C7" s="34"/>
      <c r="D7" s="35"/>
      <c r="E7" s="35" t="s">
        <v>73</v>
      </c>
      <c r="F7" s="35" t="s">
        <v>31</v>
      </c>
      <c r="G7" s="35"/>
      <c r="H7" s="35" t="s">
        <v>302</v>
      </c>
      <c r="I7" s="36"/>
      <c r="J7" s="35" t="s">
        <v>28</v>
      </c>
      <c r="K7" s="36"/>
      <c r="L7" s="36" t="s">
        <v>32</v>
      </c>
      <c r="M7" s="36"/>
      <c r="N7" s="36" t="s">
        <v>39</v>
      </c>
      <c r="O7" s="36"/>
      <c r="P7" s="35" t="s">
        <v>27</v>
      </c>
      <c r="Q7" s="36"/>
      <c r="R7" s="36" t="s">
        <v>161</v>
      </c>
      <c r="S7" s="36"/>
      <c r="T7" s="36" t="s">
        <v>162</v>
      </c>
      <c r="U7" s="36"/>
      <c r="V7" s="36" t="s">
        <v>0</v>
      </c>
      <c r="W7" s="36"/>
      <c r="X7" s="35" t="s">
        <v>218</v>
      </c>
      <c r="Y7" s="71"/>
      <c r="Z7" s="35" t="s">
        <v>97</v>
      </c>
      <c r="AA7" s="71"/>
      <c r="AB7" s="35" t="s">
        <v>97</v>
      </c>
      <c r="AC7" s="71"/>
      <c r="AD7" s="35" t="s">
        <v>37</v>
      </c>
      <c r="AE7" s="36"/>
      <c r="AG7" s="15"/>
    </row>
    <row r="8" spans="1:33" ht="13.5" customHeight="1" thickBot="1" x14ac:dyDescent="0.25">
      <c r="A8" s="153" t="s">
        <v>200</v>
      </c>
      <c r="B8" s="80" t="s">
        <v>117</v>
      </c>
      <c r="C8" s="80"/>
      <c r="D8" s="80"/>
      <c r="E8" s="37" t="s">
        <v>195</v>
      </c>
      <c r="F8" s="37" t="s">
        <v>156</v>
      </c>
      <c r="G8" s="37"/>
      <c r="H8" s="37" t="s">
        <v>304</v>
      </c>
      <c r="I8" s="37"/>
      <c r="J8" s="37" t="s">
        <v>157</v>
      </c>
      <c r="K8" s="37"/>
      <c r="L8" s="37" t="s">
        <v>38</v>
      </c>
      <c r="M8" s="37"/>
      <c r="N8" s="306" t="s">
        <v>11</v>
      </c>
      <c r="O8" s="37"/>
      <c r="P8" s="37" t="s">
        <v>85</v>
      </c>
      <c r="Q8" s="37"/>
      <c r="R8" s="306" t="s">
        <v>22</v>
      </c>
      <c r="S8" s="38"/>
      <c r="T8" s="306" t="s">
        <v>24</v>
      </c>
      <c r="U8" s="38"/>
      <c r="V8" s="306" t="s">
        <v>55</v>
      </c>
      <c r="W8" s="38"/>
      <c r="X8" s="306" t="s">
        <v>86</v>
      </c>
      <c r="Y8" s="38"/>
      <c r="Z8" s="37" t="s">
        <v>305</v>
      </c>
      <c r="AA8" s="38"/>
      <c r="AB8" s="37" t="s">
        <v>306</v>
      </c>
      <c r="AC8" s="38"/>
      <c r="AD8" s="37" t="s">
        <v>403</v>
      </c>
      <c r="AE8" s="5"/>
      <c r="AG8" s="15" t="s">
        <v>324</v>
      </c>
    </row>
    <row r="10" spans="1:33" ht="13.5" customHeight="1" x14ac:dyDescent="0.2">
      <c r="B10" s="19" t="s">
        <v>41</v>
      </c>
      <c r="C10" s="19"/>
      <c r="D10" s="19"/>
      <c r="E10" s="19"/>
      <c r="F10" s="19"/>
      <c r="G10" s="19"/>
      <c r="H10" s="19"/>
      <c r="I10" s="19"/>
      <c r="J10" s="4"/>
      <c r="K10" s="4"/>
      <c r="L10" s="8"/>
      <c r="M10" s="4"/>
      <c r="N10" s="8"/>
      <c r="O10" s="4"/>
      <c r="P10" s="8"/>
      <c r="Q10" s="4"/>
      <c r="R10" s="8"/>
      <c r="S10" s="4"/>
      <c r="T10" s="8"/>
      <c r="U10" s="4"/>
      <c r="V10" s="4"/>
      <c r="W10" s="8"/>
      <c r="X10" s="4"/>
      <c r="AE10" s="8"/>
    </row>
    <row r="11" spans="1:33" ht="13.5" customHeight="1" x14ac:dyDescent="0.2">
      <c r="B11" s="4"/>
      <c r="C11" s="4"/>
      <c r="D11" s="4"/>
      <c r="E11" s="4"/>
      <c r="F11" s="4"/>
      <c r="G11" s="4"/>
      <c r="H11" s="4"/>
      <c r="I11" s="4"/>
      <c r="J11" s="4"/>
      <c r="K11" s="4"/>
      <c r="L11" s="8"/>
      <c r="M11" s="4"/>
      <c r="N11" s="8"/>
      <c r="O11" s="4"/>
      <c r="P11" s="8"/>
      <c r="Q11" s="4"/>
      <c r="R11" s="8"/>
      <c r="S11" s="4"/>
      <c r="T11" s="8"/>
      <c r="U11" s="4"/>
      <c r="V11" s="4"/>
      <c r="W11" s="8"/>
      <c r="X11" s="4"/>
      <c r="AE11" s="8"/>
    </row>
    <row r="12" spans="1:33" ht="13.5" customHeight="1" x14ac:dyDescent="0.2">
      <c r="B12" s="83" t="s">
        <v>42</v>
      </c>
      <c r="C12" s="83"/>
      <c r="D12" s="83"/>
      <c r="E12" s="19"/>
      <c r="F12" s="19"/>
      <c r="G12" s="19"/>
      <c r="H12" s="19"/>
      <c r="I12" s="19"/>
      <c r="J12" s="4"/>
      <c r="K12" s="4"/>
      <c r="L12" s="8"/>
      <c r="M12" s="4"/>
      <c r="N12" s="8"/>
      <c r="O12" s="4"/>
      <c r="P12" s="8"/>
      <c r="Q12" s="4"/>
      <c r="R12" s="8"/>
      <c r="S12" s="4"/>
      <c r="T12" s="8"/>
      <c r="U12" s="4"/>
      <c r="V12" s="4"/>
      <c r="W12" s="8"/>
      <c r="X12" s="4"/>
      <c r="AE12" s="8"/>
    </row>
    <row r="13" spans="1:33" ht="13.5" customHeight="1" x14ac:dyDescent="0.2">
      <c r="B13" s="4"/>
      <c r="C13" s="4"/>
      <c r="D13" s="4"/>
      <c r="E13" s="4"/>
      <c r="F13" s="4"/>
      <c r="G13" s="4"/>
      <c r="H13" s="4"/>
      <c r="I13" s="4"/>
      <c r="J13" s="4"/>
      <c r="K13" s="4"/>
      <c r="L13" s="8"/>
      <c r="M13" s="4"/>
      <c r="N13" s="8"/>
      <c r="O13" s="4"/>
      <c r="P13" s="8"/>
      <c r="Q13" s="4"/>
      <c r="R13" s="8"/>
      <c r="S13" s="4"/>
      <c r="T13" s="8"/>
      <c r="U13" s="4"/>
      <c r="V13" s="4"/>
      <c r="W13" s="4"/>
      <c r="X13" s="4"/>
      <c r="AE13" s="4"/>
    </row>
    <row r="14" spans="1:33" ht="13.5" customHeight="1" x14ac:dyDescent="0.2">
      <c r="B14" s="6" t="s">
        <v>125</v>
      </c>
      <c r="K14" s="5"/>
      <c r="M14" s="5"/>
      <c r="O14" s="5"/>
      <c r="Q14" s="5"/>
      <c r="S14" s="5"/>
      <c r="U14" s="5"/>
      <c r="W14" s="5"/>
      <c r="AE14" s="5"/>
    </row>
    <row r="15" spans="1:33" ht="13.5" customHeight="1" x14ac:dyDescent="0.2">
      <c r="B15" s="6" t="s">
        <v>149</v>
      </c>
      <c r="K15" s="5"/>
      <c r="M15" s="5"/>
      <c r="O15" s="5"/>
      <c r="Q15" s="5"/>
      <c r="S15" s="5"/>
      <c r="U15" s="5"/>
      <c r="W15" s="5"/>
      <c r="AE15" s="5"/>
    </row>
    <row r="16" spans="1:33" ht="13.5" customHeight="1" x14ac:dyDescent="0.2">
      <c r="A16" s="398">
        <v>300</v>
      </c>
      <c r="D16" s="398" t="s">
        <v>481</v>
      </c>
      <c r="F16" s="237">
        <v>1223812</v>
      </c>
      <c r="G16" s="237"/>
      <c r="H16" s="237"/>
      <c r="I16" s="261"/>
      <c r="J16" s="261">
        <f>+F16-H16</f>
        <v>1223812</v>
      </c>
      <c r="K16" s="261"/>
      <c r="L16" s="237"/>
      <c r="M16" s="261"/>
      <c r="N16" s="237">
        <v>89400</v>
      </c>
      <c r="O16" s="261"/>
      <c r="P16" s="237"/>
      <c r="Q16" s="261"/>
      <c r="R16" s="237">
        <v>133200</v>
      </c>
      <c r="S16" s="261"/>
      <c r="T16" s="237"/>
      <c r="U16" s="261"/>
      <c r="V16" s="282"/>
      <c r="W16" s="261"/>
      <c r="X16" s="282">
        <v>107352</v>
      </c>
      <c r="Y16" s="261"/>
      <c r="Z16" s="261">
        <v>228409</v>
      </c>
      <c r="AA16" s="261"/>
      <c r="AB16" s="261">
        <v>75375</v>
      </c>
      <c r="AC16" s="261"/>
      <c r="AD16" s="261">
        <f>J16-SUM(L16:AB16)</f>
        <v>590076</v>
      </c>
      <c r="AE16" s="14"/>
      <c r="AG16" s="14"/>
    </row>
    <row r="17" spans="1:31" ht="13.5" customHeight="1" x14ac:dyDescent="0.2">
      <c r="A17" s="398">
        <v>310</v>
      </c>
      <c r="D17" s="398" t="s">
        <v>482</v>
      </c>
      <c r="F17" s="239">
        <v>159325</v>
      </c>
      <c r="G17" s="239"/>
      <c r="H17" s="239"/>
      <c r="I17" s="240"/>
      <c r="J17" s="240">
        <f>+F17-H17</f>
        <v>159325</v>
      </c>
      <c r="K17" s="240"/>
      <c r="L17" s="239"/>
      <c r="M17" s="240"/>
      <c r="N17" s="239"/>
      <c r="O17" s="240"/>
      <c r="P17" s="239"/>
      <c r="Q17" s="240"/>
      <c r="R17" s="239"/>
      <c r="S17" s="240"/>
      <c r="T17" s="239"/>
      <c r="U17" s="240"/>
      <c r="V17" s="275">
        <v>25000</v>
      </c>
      <c r="W17" s="240"/>
      <c r="X17" s="275">
        <v>14205</v>
      </c>
      <c r="Y17" s="240"/>
      <c r="Z17" s="240">
        <v>30223.25</v>
      </c>
      <c r="AA17" s="240"/>
      <c r="AB17" s="240">
        <v>9974</v>
      </c>
      <c r="AC17" s="240"/>
      <c r="AD17" s="240">
        <f>J17-SUM(L17:AB17)</f>
        <v>79922.75</v>
      </c>
      <c r="AE17" s="5"/>
    </row>
    <row r="18" spans="1:31" ht="13.5" customHeight="1" x14ac:dyDescent="0.2">
      <c r="A18" s="398">
        <v>320</v>
      </c>
      <c r="D18" s="398" t="s">
        <v>483</v>
      </c>
      <c r="F18" s="239">
        <v>146706</v>
      </c>
      <c r="G18" s="239"/>
      <c r="H18" s="239"/>
      <c r="I18" s="240"/>
      <c r="J18" s="240">
        <f>+F18-H18</f>
        <v>146706</v>
      </c>
      <c r="K18" s="240"/>
      <c r="L18" s="239"/>
      <c r="M18" s="240"/>
      <c r="N18" s="239"/>
      <c r="O18" s="240"/>
      <c r="P18" s="239"/>
      <c r="Q18" s="240"/>
      <c r="R18" s="239"/>
      <c r="S18" s="240"/>
      <c r="T18" s="239"/>
      <c r="U18" s="240"/>
      <c r="V18" s="275"/>
      <c r="W18" s="240"/>
      <c r="X18" s="275">
        <v>15397</v>
      </c>
      <c r="Y18" s="240"/>
      <c r="Z18" s="240">
        <v>32759</v>
      </c>
      <c r="AA18" s="240"/>
      <c r="AB18" s="240">
        <v>10810</v>
      </c>
      <c r="AC18" s="240"/>
      <c r="AD18" s="240">
        <f t="shared" ref="AD18:AD19" si="0">J18-SUM(L18:AB18)</f>
        <v>87740</v>
      </c>
      <c r="AE18" s="5"/>
    </row>
    <row r="19" spans="1:31" ht="13.5" customHeight="1" x14ac:dyDescent="0.2">
      <c r="A19" s="6">
        <v>500</v>
      </c>
      <c r="D19" s="398" t="s">
        <v>541</v>
      </c>
      <c r="F19" s="239">
        <v>500000</v>
      </c>
      <c r="G19" s="239"/>
      <c r="H19" s="239">
        <v>500000</v>
      </c>
      <c r="I19" s="240"/>
      <c r="J19" s="240">
        <f>+F19-H19</f>
        <v>0</v>
      </c>
      <c r="K19" s="240"/>
      <c r="L19" s="239"/>
      <c r="M19" s="240"/>
      <c r="N19" s="239"/>
      <c r="O19" s="240"/>
      <c r="P19" s="239"/>
      <c r="Q19" s="240"/>
      <c r="R19" s="239"/>
      <c r="S19" s="240"/>
      <c r="T19" s="239"/>
      <c r="U19" s="240"/>
      <c r="V19" s="275"/>
      <c r="W19" s="240"/>
      <c r="X19" s="275"/>
      <c r="Y19" s="240"/>
      <c r="Z19" s="240"/>
      <c r="AA19" s="240"/>
      <c r="AB19" s="240"/>
      <c r="AC19" s="240"/>
      <c r="AD19" s="240">
        <f t="shared" si="0"/>
        <v>0</v>
      </c>
      <c r="AE19" s="5"/>
    </row>
    <row r="20" spans="1:31" ht="13.5" customHeight="1" x14ac:dyDescent="0.2">
      <c r="F20" s="239"/>
      <c r="G20" s="239"/>
      <c r="H20" s="239"/>
      <c r="I20" s="240"/>
      <c r="J20" s="239"/>
      <c r="K20" s="240"/>
      <c r="L20" s="239"/>
      <c r="M20" s="240"/>
      <c r="N20" s="239"/>
      <c r="O20" s="240"/>
      <c r="P20" s="239"/>
      <c r="Q20" s="240"/>
      <c r="R20" s="239"/>
      <c r="S20" s="240"/>
      <c r="T20" s="239"/>
      <c r="U20" s="240"/>
      <c r="V20" s="275"/>
      <c r="W20" s="240"/>
      <c r="X20" s="275"/>
      <c r="Y20" s="240"/>
      <c r="Z20" s="239"/>
      <c r="AA20" s="240"/>
      <c r="AB20" s="240"/>
      <c r="AC20" s="240"/>
      <c r="AD20" s="240"/>
      <c r="AE20" s="5"/>
    </row>
    <row r="21" spans="1:31" ht="13.5" customHeight="1" x14ac:dyDescent="0.2">
      <c r="E21" s="91" t="s">
        <v>332</v>
      </c>
      <c r="F21" s="276">
        <f>SUM(F16:F20)</f>
        <v>2029843</v>
      </c>
      <c r="G21" s="240"/>
      <c r="H21" s="276">
        <f>SUM(H16:H20)</f>
        <v>500000</v>
      </c>
      <c r="I21" s="240"/>
      <c r="J21" s="276">
        <f>SUM(J16:J20)</f>
        <v>1529843</v>
      </c>
      <c r="K21" s="240"/>
      <c r="L21" s="276">
        <f t="shared" ref="L21:V21" si="1">SUM(L16:L20)</f>
        <v>0</v>
      </c>
      <c r="M21" s="240"/>
      <c r="N21" s="276">
        <f t="shared" si="1"/>
        <v>89400</v>
      </c>
      <c r="O21" s="240"/>
      <c r="P21" s="276">
        <f t="shared" si="1"/>
        <v>0</v>
      </c>
      <c r="Q21" s="240"/>
      <c r="R21" s="276">
        <f t="shared" si="1"/>
        <v>133200</v>
      </c>
      <c r="S21" s="240"/>
      <c r="T21" s="276">
        <f t="shared" si="1"/>
        <v>0</v>
      </c>
      <c r="U21" s="240"/>
      <c r="V21" s="276">
        <f t="shared" si="1"/>
        <v>25000</v>
      </c>
      <c r="W21" s="240"/>
      <c r="X21" s="276">
        <f>SUM(X16:X20)</f>
        <v>136954</v>
      </c>
      <c r="Y21" s="240"/>
      <c r="Z21" s="276">
        <f>SUM(Z16:Z20)</f>
        <v>291391.25</v>
      </c>
      <c r="AA21" s="240"/>
      <c r="AB21" s="276">
        <f>SUM(AB14:AB20)</f>
        <v>96159</v>
      </c>
      <c r="AC21" s="240"/>
      <c r="AD21" s="276">
        <f>SUM(AD14:AD20)</f>
        <v>757738.75</v>
      </c>
      <c r="AE21" s="5"/>
    </row>
    <row r="22" spans="1:31" ht="13.5" customHeight="1" x14ac:dyDescent="0.2">
      <c r="B22" s="4"/>
      <c r="C22" s="4"/>
      <c r="D22" s="4"/>
      <c r="E22" s="4"/>
      <c r="F22" s="277"/>
      <c r="G22" s="277"/>
      <c r="H22" s="277"/>
      <c r="I22" s="277"/>
      <c r="J22" s="277"/>
      <c r="K22" s="277"/>
      <c r="L22" s="278"/>
      <c r="M22" s="277"/>
      <c r="N22" s="278"/>
      <c r="O22" s="277"/>
      <c r="P22" s="278"/>
      <c r="Q22" s="277"/>
      <c r="R22" s="278"/>
      <c r="S22" s="277"/>
      <c r="T22" s="278"/>
      <c r="U22" s="277"/>
      <c r="V22" s="275"/>
      <c r="W22" s="277"/>
      <c r="X22" s="275"/>
      <c r="Y22" s="240"/>
      <c r="Z22" s="277"/>
      <c r="AA22" s="240"/>
      <c r="AB22" s="240"/>
      <c r="AC22" s="240"/>
      <c r="AD22" s="240"/>
      <c r="AE22" s="4"/>
    </row>
    <row r="23" spans="1:31" ht="13.5" customHeight="1" x14ac:dyDescent="0.2">
      <c r="B23" s="6" t="s">
        <v>43</v>
      </c>
      <c r="F23" s="239"/>
      <c r="G23" s="239"/>
      <c r="H23" s="239"/>
      <c r="I23" s="240"/>
      <c r="J23" s="239"/>
      <c r="K23" s="240"/>
      <c r="L23" s="239"/>
      <c r="M23" s="240"/>
      <c r="N23" s="239"/>
      <c r="O23" s="240"/>
      <c r="P23" s="239"/>
      <c r="Q23" s="240"/>
      <c r="R23" s="239"/>
      <c r="S23" s="240"/>
      <c r="T23" s="239"/>
      <c r="U23" s="240"/>
      <c r="V23" s="279"/>
      <c r="W23" s="240"/>
      <c r="X23" s="279"/>
      <c r="Y23" s="240"/>
      <c r="Z23" s="239"/>
      <c r="AA23" s="240"/>
      <c r="AB23" s="240"/>
      <c r="AC23" s="240"/>
      <c r="AD23" s="240"/>
      <c r="AE23" s="5"/>
    </row>
    <row r="24" spans="1:31" ht="13.5" customHeight="1" x14ac:dyDescent="0.2">
      <c r="B24" s="6" t="s">
        <v>150</v>
      </c>
      <c r="F24" s="239"/>
      <c r="G24" s="239"/>
      <c r="H24" s="239"/>
      <c r="I24" s="240"/>
      <c r="J24" s="239"/>
      <c r="K24" s="240"/>
      <c r="L24" s="239"/>
      <c r="M24" s="240"/>
      <c r="N24" s="239"/>
      <c r="O24" s="240"/>
      <c r="P24" s="239"/>
      <c r="Q24" s="240"/>
      <c r="R24" s="239"/>
      <c r="S24" s="240"/>
      <c r="T24" s="239"/>
      <c r="U24" s="240"/>
      <c r="V24" s="279"/>
      <c r="W24" s="240"/>
      <c r="X24" s="279"/>
      <c r="Y24" s="240"/>
      <c r="Z24" s="239"/>
      <c r="AA24" s="240"/>
      <c r="AB24" s="240"/>
      <c r="AC24" s="240"/>
      <c r="AD24" s="240"/>
      <c r="AE24" s="5"/>
    </row>
    <row r="25" spans="1:31" ht="13.5" customHeight="1" x14ac:dyDescent="0.2">
      <c r="A25" s="399">
        <v>400</v>
      </c>
      <c r="D25" s="398" t="s">
        <v>484</v>
      </c>
      <c r="F25" s="398">
        <v>2883986</v>
      </c>
      <c r="G25" s="239"/>
      <c r="H25" s="239">
        <v>123000</v>
      </c>
      <c r="I25" s="240"/>
      <c r="J25" s="240">
        <f>+F25-H25</f>
        <v>2760986</v>
      </c>
      <c r="K25" s="240"/>
      <c r="L25" s="239">
        <v>47000</v>
      </c>
      <c r="M25" s="240"/>
      <c r="N25" s="239">
        <v>1243000</v>
      </c>
      <c r="O25" s="240"/>
      <c r="P25" s="239"/>
      <c r="Q25" s="240"/>
      <c r="R25" s="239"/>
      <c r="S25" s="240"/>
      <c r="T25" s="239"/>
      <c r="U25" s="240"/>
      <c r="V25" s="239"/>
      <c r="W25" s="240"/>
      <c r="X25" s="279">
        <v>151860</v>
      </c>
      <c r="Y25" s="240"/>
      <c r="Z25" s="240">
        <v>323105.5</v>
      </c>
      <c r="AA25" s="240"/>
      <c r="AB25" s="240">
        <v>106624.815</v>
      </c>
      <c r="AC25" s="240"/>
      <c r="AD25" s="240">
        <f t="shared" ref="AD25:AD29" si="2">J25-SUM(L25:AB25)</f>
        <v>889395.68500000006</v>
      </c>
      <c r="AE25" s="5"/>
    </row>
    <row r="26" spans="1:31" ht="13.5" customHeight="1" x14ac:dyDescent="0.2">
      <c r="A26" s="399">
        <v>410</v>
      </c>
      <c r="D26" s="398" t="s">
        <v>485</v>
      </c>
      <c r="F26" s="398">
        <v>118981</v>
      </c>
      <c r="G26" s="239"/>
      <c r="H26" s="239"/>
      <c r="I26" s="240"/>
      <c r="J26" s="240">
        <f>+F26-H26</f>
        <v>118981</v>
      </c>
      <c r="K26" s="240"/>
      <c r="L26" s="239"/>
      <c r="M26" s="240"/>
      <c r="N26" s="239"/>
      <c r="O26" s="240"/>
      <c r="P26" s="239"/>
      <c r="Q26" s="240"/>
      <c r="R26" s="239"/>
      <c r="S26" s="240"/>
      <c r="T26" s="239"/>
      <c r="U26" s="240"/>
      <c r="V26" s="239"/>
      <c r="W26" s="240"/>
      <c r="X26" s="279">
        <v>13980</v>
      </c>
      <c r="Y26" s="240"/>
      <c r="Z26" s="240">
        <v>29745.25</v>
      </c>
      <c r="AA26" s="240"/>
      <c r="AB26" s="240">
        <v>9815.9325000000008</v>
      </c>
      <c r="AC26" s="240"/>
      <c r="AD26" s="240">
        <f t="shared" si="2"/>
        <v>65439.817499999997</v>
      </c>
      <c r="AE26" s="5"/>
    </row>
    <row r="27" spans="1:31" ht="13.5" customHeight="1" x14ac:dyDescent="0.2">
      <c r="A27" s="399">
        <v>411</v>
      </c>
      <c r="D27" s="398" t="s">
        <v>486</v>
      </c>
      <c r="F27" s="398">
        <v>1165231</v>
      </c>
      <c r="G27" s="239"/>
      <c r="H27" s="239"/>
      <c r="I27" s="240"/>
      <c r="J27" s="240">
        <f>+F27-H27</f>
        <v>1165231</v>
      </c>
      <c r="K27" s="240"/>
      <c r="L27" s="239"/>
      <c r="M27" s="240"/>
      <c r="N27" s="239"/>
      <c r="O27" s="240"/>
      <c r="P27" s="239"/>
      <c r="Q27" s="240"/>
      <c r="R27" s="239"/>
      <c r="S27" s="240"/>
      <c r="T27" s="239"/>
      <c r="U27" s="240"/>
      <c r="V27" s="239"/>
      <c r="W27" s="240"/>
      <c r="X27" s="279">
        <v>129592</v>
      </c>
      <c r="Y27" s="240"/>
      <c r="Z27" s="240">
        <v>275727</v>
      </c>
      <c r="AA27" s="240"/>
      <c r="AB27" s="240">
        <v>90989.91</v>
      </c>
      <c r="AC27" s="240"/>
      <c r="AD27" s="240">
        <f t="shared" si="2"/>
        <v>668922.09</v>
      </c>
      <c r="AE27" s="5"/>
    </row>
    <row r="28" spans="1:31" ht="13.5" customHeight="1" x14ac:dyDescent="0.2">
      <c r="A28" s="399">
        <v>412</v>
      </c>
      <c r="D28" s="398" t="s">
        <v>487</v>
      </c>
      <c r="F28" s="398">
        <v>1262041</v>
      </c>
      <c r="G28" s="239"/>
      <c r="H28" s="239"/>
      <c r="I28" s="240"/>
      <c r="J28" s="240">
        <f>+F28-H28</f>
        <v>1262041</v>
      </c>
      <c r="K28" s="240"/>
      <c r="L28" s="239"/>
      <c r="M28" s="240"/>
      <c r="N28" s="239"/>
      <c r="O28" s="240"/>
      <c r="P28" s="239"/>
      <c r="Q28" s="240"/>
      <c r="R28" s="239"/>
      <c r="S28" s="240"/>
      <c r="T28" s="239"/>
      <c r="U28" s="240"/>
      <c r="V28" s="239"/>
      <c r="W28" s="240"/>
      <c r="X28" s="279">
        <v>141117</v>
      </c>
      <c r="Y28" s="240"/>
      <c r="Z28" s="240">
        <v>300248.25</v>
      </c>
      <c r="AA28" s="240"/>
      <c r="AB28" s="240">
        <v>99081.922500000001</v>
      </c>
      <c r="AC28" s="240"/>
      <c r="AD28" s="240">
        <f t="shared" si="2"/>
        <v>721593.82750000001</v>
      </c>
      <c r="AE28" s="5"/>
    </row>
    <row r="29" spans="1:31" ht="13.5" customHeight="1" x14ac:dyDescent="0.2">
      <c r="A29" s="399">
        <v>413</v>
      </c>
      <c r="D29" s="398" t="s">
        <v>488</v>
      </c>
      <c r="F29" s="398">
        <v>130263</v>
      </c>
      <c r="G29" s="239"/>
      <c r="H29" s="239"/>
      <c r="I29" s="240"/>
      <c r="J29" s="240">
        <f>+F29-H29</f>
        <v>130263</v>
      </c>
      <c r="K29" s="240"/>
      <c r="L29" s="239"/>
      <c r="M29" s="240"/>
      <c r="N29" s="239"/>
      <c r="O29" s="240"/>
      <c r="P29" s="239"/>
      <c r="Q29" s="240"/>
      <c r="R29" s="239"/>
      <c r="S29" s="240"/>
      <c r="T29" s="239"/>
      <c r="U29" s="240"/>
      <c r="V29" s="239"/>
      <c r="W29" s="240"/>
      <c r="X29" s="279">
        <v>15306</v>
      </c>
      <c r="Y29" s="240"/>
      <c r="Z29" s="240">
        <v>32565.75</v>
      </c>
      <c r="AA29" s="240"/>
      <c r="AB29" s="240">
        <v>10746.6975</v>
      </c>
      <c r="AC29" s="240"/>
      <c r="AD29" s="240">
        <f t="shared" si="2"/>
        <v>71644.552499999991</v>
      </c>
      <c r="AE29" s="5"/>
    </row>
    <row r="30" spans="1:31" ht="13.5" customHeight="1" x14ac:dyDescent="0.2">
      <c r="F30" s="239"/>
      <c r="G30" s="239"/>
      <c r="H30" s="239"/>
      <c r="I30" s="240"/>
      <c r="J30" s="239"/>
      <c r="K30" s="240"/>
      <c r="L30" s="239"/>
      <c r="M30" s="240"/>
      <c r="N30" s="239"/>
      <c r="O30" s="240"/>
      <c r="P30" s="239"/>
      <c r="Q30" s="240"/>
      <c r="R30" s="239"/>
      <c r="S30" s="240"/>
      <c r="T30" s="239"/>
      <c r="U30" s="240"/>
      <c r="V30" s="279"/>
      <c r="W30" s="240"/>
      <c r="X30" s="279"/>
      <c r="Y30" s="240"/>
      <c r="Z30" s="239"/>
      <c r="AA30" s="240"/>
      <c r="AB30" s="240"/>
      <c r="AC30" s="240"/>
      <c r="AD30" s="240"/>
      <c r="AE30" s="5"/>
    </row>
    <row r="31" spans="1:31" ht="13.5" customHeight="1" x14ac:dyDescent="0.2">
      <c r="E31" s="91" t="s">
        <v>333</v>
      </c>
      <c r="F31" s="276">
        <f>SUM(F25:F30)</f>
        <v>5560502</v>
      </c>
      <c r="G31" s="240"/>
      <c r="H31" s="276">
        <f>SUM(H25:H30)</f>
        <v>123000</v>
      </c>
      <c r="I31" s="240"/>
      <c r="J31" s="276">
        <f>SUM(J25:J30)</f>
        <v>5437502</v>
      </c>
      <c r="K31" s="240"/>
      <c r="L31" s="276">
        <f t="shared" ref="L31:V31" si="3">SUM(L25:L30)</f>
        <v>47000</v>
      </c>
      <c r="M31" s="240"/>
      <c r="N31" s="276">
        <f t="shared" si="3"/>
        <v>1243000</v>
      </c>
      <c r="O31" s="240"/>
      <c r="P31" s="276">
        <f t="shared" si="3"/>
        <v>0</v>
      </c>
      <c r="Q31" s="240"/>
      <c r="R31" s="276">
        <f t="shared" si="3"/>
        <v>0</v>
      </c>
      <c r="S31" s="240"/>
      <c r="T31" s="276">
        <f t="shared" si="3"/>
        <v>0</v>
      </c>
      <c r="U31" s="240"/>
      <c r="V31" s="276">
        <f t="shared" si="3"/>
        <v>0</v>
      </c>
      <c r="W31" s="240"/>
      <c r="X31" s="276">
        <f>SUM(X25:X30)</f>
        <v>451855</v>
      </c>
      <c r="Y31" s="240"/>
      <c r="Z31" s="276">
        <f>SUM(Z25:Z30)</f>
        <v>961391.75</v>
      </c>
      <c r="AA31" s="240"/>
      <c r="AB31" s="276">
        <f>SUM(AB23:AB30)</f>
        <v>317259.27750000003</v>
      </c>
      <c r="AC31" s="240"/>
      <c r="AD31" s="276">
        <f>SUM(AD23:AD30)</f>
        <v>2416995.9725000001</v>
      </c>
      <c r="AE31" s="5"/>
    </row>
    <row r="32" spans="1:31" ht="13.5" customHeight="1" x14ac:dyDescent="0.2">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5"/>
    </row>
    <row r="33" spans="1:43" ht="13.5" customHeight="1" x14ac:dyDescent="0.2">
      <c r="B33" s="84" t="s">
        <v>126</v>
      </c>
      <c r="C33" s="84"/>
      <c r="F33" s="239"/>
      <c r="G33" s="239"/>
      <c r="H33" s="239"/>
      <c r="I33" s="240"/>
      <c r="J33" s="239"/>
      <c r="K33" s="240"/>
      <c r="L33" s="240"/>
      <c r="M33" s="240"/>
      <c r="N33" s="240"/>
      <c r="O33" s="240"/>
      <c r="P33" s="240"/>
      <c r="Q33" s="240"/>
      <c r="R33" s="240"/>
      <c r="S33" s="240"/>
      <c r="T33" s="240"/>
      <c r="U33" s="240"/>
      <c r="V33" s="240"/>
      <c r="W33" s="240"/>
      <c r="X33" s="240"/>
      <c r="Y33" s="240"/>
      <c r="Z33" s="240"/>
      <c r="AA33" s="240"/>
      <c r="AB33" s="240"/>
      <c r="AC33" s="240"/>
      <c r="AD33" s="240"/>
      <c r="AE33" s="5"/>
    </row>
    <row r="34" spans="1:43" ht="13.5" customHeight="1" x14ac:dyDescent="0.2">
      <c r="D34" s="84"/>
      <c r="F34" s="239"/>
      <c r="G34" s="239"/>
      <c r="H34" s="239"/>
      <c r="I34" s="240"/>
      <c r="J34" s="239"/>
      <c r="K34" s="240"/>
      <c r="L34" s="239"/>
      <c r="M34" s="240"/>
      <c r="N34" s="239"/>
      <c r="O34" s="240"/>
      <c r="P34" s="239"/>
      <c r="Q34" s="240"/>
      <c r="R34" s="239"/>
      <c r="S34" s="240"/>
      <c r="T34" s="239"/>
      <c r="U34" s="240"/>
      <c r="V34" s="279"/>
      <c r="W34" s="240"/>
      <c r="X34" s="279"/>
      <c r="Y34" s="240"/>
      <c r="Z34" s="239"/>
      <c r="AA34" s="240"/>
      <c r="AB34" s="240"/>
      <c r="AC34" s="240"/>
      <c r="AD34" s="240"/>
      <c r="AE34" s="5"/>
    </row>
    <row r="35" spans="1:43" ht="13.5" customHeight="1" x14ac:dyDescent="0.2">
      <c r="B35" s="6" t="s">
        <v>43</v>
      </c>
      <c r="D35" s="84"/>
      <c r="F35" s="239"/>
      <c r="G35" s="239"/>
      <c r="H35" s="239"/>
      <c r="I35" s="240"/>
      <c r="J35" s="239"/>
      <c r="K35" s="240"/>
      <c r="L35" s="239"/>
      <c r="M35" s="240"/>
      <c r="N35" s="239"/>
      <c r="O35" s="240"/>
      <c r="P35" s="239"/>
      <c r="Q35" s="240"/>
      <c r="R35" s="239"/>
      <c r="S35" s="240"/>
      <c r="T35" s="239"/>
      <c r="U35" s="240"/>
      <c r="V35" s="279"/>
      <c r="W35" s="240"/>
      <c r="X35" s="279"/>
      <c r="Y35" s="240"/>
      <c r="Z35" s="239"/>
      <c r="AA35" s="240"/>
      <c r="AB35" s="240"/>
      <c r="AC35" s="240"/>
      <c r="AD35" s="240"/>
      <c r="AE35" s="5"/>
    </row>
    <row r="36" spans="1:43" ht="13.5" customHeight="1" x14ac:dyDescent="0.2">
      <c r="A36" s="399">
        <v>420</v>
      </c>
      <c r="B36" s="398"/>
      <c r="C36" s="398"/>
      <c r="D36" s="398" t="s">
        <v>489</v>
      </c>
      <c r="F36" s="398">
        <v>1108281</v>
      </c>
      <c r="G36" s="239"/>
      <c r="H36" s="239"/>
      <c r="I36" s="240"/>
      <c r="J36" s="240">
        <f>+F36-H36</f>
        <v>1108281</v>
      </c>
      <c r="K36" s="240"/>
      <c r="L36" s="239"/>
      <c r="M36" s="239"/>
      <c r="N36" s="239"/>
      <c r="O36" s="239"/>
      <c r="P36" s="239"/>
      <c r="Q36" s="240"/>
      <c r="R36" s="239"/>
      <c r="S36" s="240"/>
      <c r="T36" s="239"/>
      <c r="U36" s="240"/>
      <c r="V36" s="239"/>
      <c r="W36" s="240"/>
      <c r="X36" s="239">
        <v>116211.73</v>
      </c>
      <c r="Y36" s="240"/>
      <c r="Z36" s="240">
        <v>247259</v>
      </c>
      <c r="AA36" s="240"/>
      <c r="AB36" s="240">
        <v>81595.47</v>
      </c>
      <c r="AC36" s="240"/>
      <c r="AD36" s="240">
        <f t="shared" ref="AD36:AD40" si="4">J36-SUM(L36:AB36)</f>
        <v>663214.80000000005</v>
      </c>
      <c r="AE36" s="5"/>
      <c r="AF36" s="6"/>
      <c r="AJ36" s="6"/>
      <c r="AK36" s="6"/>
      <c r="AL36" s="6"/>
      <c r="AM36" s="6"/>
      <c r="AN36" s="6"/>
      <c r="AO36" s="6"/>
      <c r="AP36" s="6"/>
      <c r="AQ36" s="6"/>
    </row>
    <row r="37" spans="1:43" ht="13.5" customHeight="1" x14ac:dyDescent="0.2">
      <c r="A37" s="399">
        <v>421</v>
      </c>
      <c r="B37" s="398"/>
      <c r="C37" s="398"/>
      <c r="D37" s="398" t="s">
        <v>490</v>
      </c>
      <c r="F37" s="398">
        <v>12584</v>
      </c>
      <c r="G37" s="239"/>
      <c r="H37" s="239"/>
      <c r="I37" s="240"/>
      <c r="J37" s="240">
        <f>+F37-H37</f>
        <v>12584</v>
      </c>
      <c r="K37" s="240"/>
      <c r="L37" s="239"/>
      <c r="M37" s="239"/>
      <c r="N37" s="239"/>
      <c r="O37" s="239"/>
      <c r="P37" s="239"/>
      <c r="Q37" s="240"/>
      <c r="R37" s="239"/>
      <c r="S37" s="240"/>
      <c r="T37" s="239"/>
      <c r="U37" s="240"/>
      <c r="V37" s="239"/>
      <c r="W37" s="240"/>
      <c r="X37" s="239">
        <v>1478.62</v>
      </c>
      <c r="Y37" s="240"/>
      <c r="Z37" s="240">
        <v>3146</v>
      </c>
      <c r="AA37" s="240"/>
      <c r="AB37" s="240">
        <v>1038.18</v>
      </c>
      <c r="AC37" s="240"/>
      <c r="AD37" s="240">
        <f t="shared" si="4"/>
        <v>6921.2</v>
      </c>
      <c r="AE37" s="5"/>
      <c r="AF37" s="6"/>
      <c r="AJ37" s="6"/>
      <c r="AK37" s="6"/>
      <c r="AL37" s="6"/>
      <c r="AM37" s="6"/>
      <c r="AN37" s="6"/>
      <c r="AO37" s="6"/>
      <c r="AP37" s="6"/>
      <c r="AQ37" s="6"/>
    </row>
    <row r="38" spans="1:43" ht="13.5" customHeight="1" x14ac:dyDescent="0.2">
      <c r="A38" s="399">
        <v>422</v>
      </c>
      <c r="B38" s="398"/>
      <c r="C38" s="398"/>
      <c r="D38" s="398" t="s">
        <v>491</v>
      </c>
      <c r="F38" s="398">
        <v>118197</v>
      </c>
      <c r="G38" s="239"/>
      <c r="H38" s="239"/>
      <c r="I38" s="240"/>
      <c r="J38" s="240">
        <f>+F38-H38</f>
        <v>118197</v>
      </c>
      <c r="K38" s="240"/>
      <c r="L38" s="239"/>
      <c r="M38" s="239"/>
      <c r="N38" s="239"/>
      <c r="O38" s="239"/>
      <c r="P38" s="239"/>
      <c r="Q38" s="240"/>
      <c r="R38" s="239">
        <v>49500</v>
      </c>
      <c r="S38" s="240"/>
      <c r="T38" s="239"/>
      <c r="U38" s="240"/>
      <c r="V38" s="239"/>
      <c r="W38" s="240"/>
      <c r="X38" s="239">
        <v>7249.3975</v>
      </c>
      <c r="Y38" s="240"/>
      <c r="Z38" s="240">
        <v>15424.25</v>
      </c>
      <c r="AA38" s="240"/>
      <c r="AB38" s="240">
        <v>5090.0025000000005</v>
      </c>
      <c r="AC38" s="240"/>
      <c r="AD38" s="240">
        <f t="shared" si="4"/>
        <v>40933.350000000006</v>
      </c>
      <c r="AE38" s="5"/>
      <c r="AF38" s="6"/>
      <c r="AJ38" s="6"/>
      <c r="AK38" s="6"/>
      <c r="AL38" s="6"/>
      <c r="AM38" s="6"/>
      <c r="AN38" s="6"/>
      <c r="AO38" s="6"/>
      <c r="AP38" s="6"/>
      <c r="AQ38" s="6"/>
    </row>
    <row r="39" spans="1:43" ht="13.5" customHeight="1" x14ac:dyDescent="0.2">
      <c r="A39" s="399">
        <v>425</v>
      </c>
      <c r="B39" s="398"/>
      <c r="C39" s="398"/>
      <c r="D39" s="398" t="s">
        <v>492</v>
      </c>
      <c r="F39" s="398">
        <v>14037</v>
      </c>
      <c r="G39" s="239"/>
      <c r="H39" s="239"/>
      <c r="I39" s="240"/>
      <c r="J39" s="240">
        <f>+F39-H39</f>
        <v>14037</v>
      </c>
      <c r="K39" s="240"/>
      <c r="L39" s="239"/>
      <c r="M39" s="239"/>
      <c r="N39" s="239"/>
      <c r="O39" s="239"/>
      <c r="P39" s="239"/>
      <c r="Q39" s="240"/>
      <c r="R39" s="239"/>
      <c r="S39" s="240"/>
      <c r="T39" s="239"/>
      <c r="U39" s="240"/>
      <c r="V39" s="239"/>
      <c r="W39" s="240"/>
      <c r="X39" s="239">
        <v>1649.3474999999999</v>
      </c>
      <c r="Y39" s="240"/>
      <c r="Z39" s="240">
        <v>3509.25</v>
      </c>
      <c r="AA39" s="240"/>
      <c r="AB39" s="240">
        <v>1158.0525</v>
      </c>
      <c r="AC39" s="240"/>
      <c r="AD39" s="240">
        <f t="shared" si="4"/>
        <v>7720.35</v>
      </c>
      <c r="AE39" s="5"/>
      <c r="AF39" s="6"/>
      <c r="AJ39" s="6"/>
      <c r="AK39" s="6"/>
      <c r="AL39" s="6"/>
      <c r="AM39" s="6"/>
      <c r="AN39" s="6"/>
      <c r="AO39" s="6"/>
      <c r="AP39" s="6"/>
      <c r="AQ39" s="6"/>
    </row>
    <row r="40" spans="1:43" ht="13.5" customHeight="1" x14ac:dyDescent="0.2">
      <c r="A40" s="399">
        <v>426</v>
      </c>
      <c r="B40" s="398"/>
      <c r="C40" s="398"/>
      <c r="D40" s="398" t="s">
        <v>493</v>
      </c>
      <c r="F40" s="398">
        <v>18715</v>
      </c>
      <c r="G40" s="239"/>
      <c r="H40" s="239"/>
      <c r="I40" s="240"/>
      <c r="J40" s="240">
        <f>+F40-H40</f>
        <v>18715</v>
      </c>
      <c r="K40" s="240"/>
      <c r="L40" s="239"/>
      <c r="M40" s="239"/>
      <c r="N40" s="239"/>
      <c r="O40" s="239"/>
      <c r="P40" s="239"/>
      <c r="Q40" s="240"/>
      <c r="R40" s="239"/>
      <c r="S40" s="240"/>
      <c r="T40" s="239"/>
      <c r="U40" s="240"/>
      <c r="V40" s="239"/>
      <c r="W40" s="240"/>
      <c r="X40" s="239">
        <v>2199.0124999999998</v>
      </c>
      <c r="Y40" s="240"/>
      <c r="Z40" s="240">
        <v>4678.75</v>
      </c>
      <c r="AA40" s="240"/>
      <c r="AB40" s="240">
        <v>1543.9875000000002</v>
      </c>
      <c r="AC40" s="240"/>
      <c r="AD40" s="240">
        <f t="shared" si="4"/>
        <v>10293.25</v>
      </c>
      <c r="AE40" s="5"/>
      <c r="AF40" s="6"/>
      <c r="AJ40" s="6"/>
      <c r="AK40" s="6"/>
      <c r="AL40" s="6"/>
      <c r="AM40" s="6"/>
      <c r="AN40" s="6"/>
      <c r="AO40" s="6"/>
      <c r="AP40" s="6"/>
      <c r="AQ40" s="6"/>
    </row>
    <row r="41" spans="1:43" ht="13.5" customHeight="1" x14ac:dyDescent="0.2">
      <c r="F41" s="239"/>
      <c r="G41" s="239"/>
      <c r="H41" s="239"/>
      <c r="I41" s="240"/>
      <c r="J41" s="239"/>
      <c r="K41" s="240"/>
      <c r="L41" s="239"/>
      <c r="M41" s="240"/>
      <c r="N41" s="239"/>
      <c r="O41" s="240"/>
      <c r="P41" s="239"/>
      <c r="Q41" s="240"/>
      <c r="R41" s="239"/>
      <c r="S41" s="240"/>
      <c r="T41" s="239"/>
      <c r="U41" s="240"/>
      <c r="V41" s="279"/>
      <c r="W41" s="240"/>
      <c r="X41" s="279"/>
      <c r="Y41" s="240"/>
      <c r="Z41" s="239"/>
      <c r="AA41" s="240"/>
      <c r="AB41" s="239"/>
      <c r="AC41" s="240"/>
      <c r="AD41" s="239"/>
      <c r="AE41" s="5"/>
      <c r="AF41" s="6"/>
      <c r="AJ41" s="6"/>
      <c r="AK41" s="6"/>
      <c r="AL41" s="6"/>
      <c r="AM41" s="6"/>
      <c r="AN41" s="6"/>
      <c r="AO41" s="6"/>
      <c r="AP41" s="6"/>
      <c r="AQ41" s="6"/>
    </row>
    <row r="42" spans="1:43" ht="13.5" customHeight="1" x14ac:dyDescent="0.2">
      <c r="E42" s="91" t="s">
        <v>334</v>
      </c>
      <c r="F42" s="276">
        <f>SUM(F36:F41)</f>
        <v>1271814</v>
      </c>
      <c r="G42" s="240"/>
      <c r="H42" s="276">
        <f>SUM(H36:H41)</f>
        <v>0</v>
      </c>
      <c r="I42" s="240"/>
      <c r="J42" s="276">
        <f>SUM(J36:J41)</f>
        <v>1271814</v>
      </c>
      <c r="K42" s="240"/>
      <c r="L42" s="276">
        <f>SUM(L36:L41)</f>
        <v>0</v>
      </c>
      <c r="M42" s="240"/>
      <c r="N42" s="276">
        <f>SUM(N36:N41)</f>
        <v>0</v>
      </c>
      <c r="O42" s="240"/>
      <c r="P42" s="276">
        <f>SUM(P36:P41)</f>
        <v>0</v>
      </c>
      <c r="Q42" s="240"/>
      <c r="R42" s="276">
        <f>SUM(R36:R41)</f>
        <v>49500</v>
      </c>
      <c r="S42" s="240"/>
      <c r="T42" s="276">
        <f>SUM(T36:T41)</f>
        <v>0</v>
      </c>
      <c r="U42" s="240"/>
      <c r="V42" s="276">
        <f>SUM(V36:V41)</f>
        <v>0</v>
      </c>
      <c r="W42" s="240"/>
      <c r="X42" s="276">
        <f>SUM(X36:X41)</f>
        <v>128788.1075</v>
      </c>
      <c r="Y42" s="240"/>
      <c r="Z42" s="276">
        <f>SUM(Z36:Z41)</f>
        <v>274017.25</v>
      </c>
      <c r="AA42" s="240"/>
      <c r="AB42" s="276">
        <f>SUM(AB35:AB41)</f>
        <v>90425.692500000005</v>
      </c>
      <c r="AC42" s="240"/>
      <c r="AD42" s="276">
        <f>SUM(AD35:AD41)</f>
        <v>729082.95</v>
      </c>
      <c r="AE42" s="5"/>
      <c r="AF42" s="6"/>
      <c r="AJ42" s="6"/>
      <c r="AK42" s="6"/>
      <c r="AL42" s="6"/>
      <c r="AM42" s="6"/>
      <c r="AN42" s="6"/>
      <c r="AO42" s="6"/>
      <c r="AP42" s="6"/>
      <c r="AQ42" s="6"/>
    </row>
    <row r="43" spans="1:43" ht="13.5" customHeight="1" x14ac:dyDescent="0.2">
      <c r="F43" s="239"/>
      <c r="G43" s="239"/>
      <c r="H43" s="239"/>
      <c r="I43" s="240"/>
      <c r="J43" s="239"/>
      <c r="K43" s="240"/>
      <c r="L43" s="239"/>
      <c r="M43" s="240"/>
      <c r="N43" s="239"/>
      <c r="O43" s="240"/>
      <c r="P43" s="239"/>
      <c r="Q43" s="240"/>
      <c r="R43" s="239"/>
      <c r="S43" s="240"/>
      <c r="T43" s="239"/>
      <c r="U43" s="240"/>
      <c r="V43" s="279"/>
      <c r="W43" s="240"/>
      <c r="X43" s="279"/>
      <c r="Y43" s="240"/>
      <c r="Z43" s="239"/>
      <c r="AA43" s="240"/>
      <c r="AB43" s="239"/>
      <c r="AC43" s="240"/>
      <c r="AD43" s="239"/>
      <c r="AE43" s="5"/>
      <c r="AF43" s="6"/>
      <c r="AJ43" s="6"/>
      <c r="AK43" s="6"/>
      <c r="AL43" s="6"/>
      <c r="AM43" s="6"/>
      <c r="AN43" s="6"/>
      <c r="AO43" s="6"/>
      <c r="AP43" s="6"/>
      <c r="AQ43" s="6"/>
    </row>
    <row r="44" spans="1:43" ht="13.5" customHeight="1" x14ac:dyDescent="0.2">
      <c r="B44" s="6" t="s">
        <v>125</v>
      </c>
      <c r="F44" s="239"/>
      <c r="G44" s="239"/>
      <c r="H44" s="239"/>
      <c r="I44" s="240"/>
      <c r="J44" s="239"/>
      <c r="K44" s="240"/>
      <c r="L44" s="239"/>
      <c r="M44" s="240"/>
      <c r="N44" s="239"/>
      <c r="O44" s="240"/>
      <c r="P44" s="239"/>
      <c r="Q44" s="240"/>
      <c r="R44" s="239"/>
      <c r="S44" s="240"/>
      <c r="T44" s="239"/>
      <c r="U44" s="240"/>
      <c r="V44" s="279"/>
      <c r="W44" s="240"/>
      <c r="X44" s="279"/>
      <c r="Y44" s="240"/>
      <c r="Z44" s="239"/>
      <c r="AA44" s="240"/>
      <c r="AB44" s="240"/>
      <c r="AC44" s="240"/>
      <c r="AD44" s="240"/>
      <c r="AE44" s="5"/>
    </row>
    <row r="45" spans="1:43" ht="13.5" customHeight="1" x14ac:dyDescent="0.2">
      <c r="A45" s="399">
        <v>340</v>
      </c>
      <c r="B45" s="398"/>
      <c r="C45" s="398"/>
      <c r="D45" s="398" t="s">
        <v>494</v>
      </c>
      <c r="F45" s="398">
        <v>131392</v>
      </c>
      <c r="G45" s="239"/>
      <c r="H45" s="239"/>
      <c r="I45" s="240"/>
      <c r="J45" s="240">
        <f>+F45-H45</f>
        <v>131392</v>
      </c>
      <c r="K45" s="240"/>
      <c r="L45" s="239"/>
      <c r="M45" s="240"/>
      <c r="N45" s="239"/>
      <c r="O45" s="240"/>
      <c r="P45" s="239"/>
      <c r="Q45" s="240"/>
      <c r="R45" s="239"/>
      <c r="S45" s="240"/>
      <c r="T45" s="239"/>
      <c r="U45" s="240"/>
      <c r="V45" s="279"/>
      <c r="W45" s="240"/>
      <c r="X45" s="239">
        <v>13583.352499999999</v>
      </c>
      <c r="Y45" s="240"/>
      <c r="Z45" s="240">
        <v>28900.75</v>
      </c>
      <c r="AA45" s="240"/>
      <c r="AB45" s="240">
        <v>9537.2475000000013</v>
      </c>
      <c r="AC45" s="240"/>
      <c r="AD45" s="240">
        <f t="shared" ref="AD45:AD47" si="5">J45-SUM(L45:AB45)</f>
        <v>79370.649999999994</v>
      </c>
      <c r="AE45" s="5"/>
    </row>
    <row r="46" spans="1:43" ht="13.5" customHeight="1" x14ac:dyDescent="0.2">
      <c r="A46" s="399">
        <v>343</v>
      </c>
      <c r="B46" s="398"/>
      <c r="C46" s="398"/>
      <c r="D46" s="398" t="s">
        <v>495</v>
      </c>
      <c r="F46" s="398">
        <v>111787</v>
      </c>
      <c r="G46" s="239"/>
      <c r="H46" s="239"/>
      <c r="I46" s="240"/>
      <c r="J46" s="240">
        <f>+F46-H46</f>
        <v>111787</v>
      </c>
      <c r="K46" s="240"/>
      <c r="L46" s="239">
        <v>111787</v>
      </c>
      <c r="M46" s="240"/>
      <c r="N46" s="239"/>
      <c r="O46" s="240"/>
      <c r="P46" s="239"/>
      <c r="Q46" s="240"/>
      <c r="R46" s="239"/>
      <c r="S46" s="240"/>
      <c r="T46" s="239"/>
      <c r="U46" s="240"/>
      <c r="V46" s="279"/>
      <c r="W46" s="240"/>
      <c r="X46" s="239">
        <v>0</v>
      </c>
      <c r="Y46" s="240"/>
      <c r="Z46" s="240">
        <v>0</v>
      </c>
      <c r="AA46" s="240"/>
      <c r="AB46" s="240">
        <v>0</v>
      </c>
      <c r="AC46" s="240"/>
      <c r="AD46" s="240">
        <f t="shared" si="5"/>
        <v>0</v>
      </c>
      <c r="AE46" s="5"/>
    </row>
    <row r="47" spans="1:43" ht="13.5" customHeight="1" x14ac:dyDescent="0.2">
      <c r="A47" s="399">
        <v>351</v>
      </c>
      <c r="B47" s="398"/>
      <c r="C47" s="398"/>
      <c r="D47" s="398" t="s">
        <v>496</v>
      </c>
      <c r="F47" s="398">
        <v>114281</v>
      </c>
      <c r="G47" s="239"/>
      <c r="H47" s="239"/>
      <c r="I47" s="240"/>
      <c r="J47" s="240">
        <f>+F47-H47</f>
        <v>114281</v>
      </c>
      <c r="K47" s="240"/>
      <c r="L47" s="239"/>
      <c r="M47" s="240"/>
      <c r="N47" s="239"/>
      <c r="O47" s="240"/>
      <c r="P47" s="239"/>
      <c r="Q47" s="240"/>
      <c r="R47" s="239"/>
      <c r="S47" s="240"/>
      <c r="T47" s="239"/>
      <c r="U47" s="240"/>
      <c r="V47" s="279"/>
      <c r="W47" s="240"/>
      <c r="X47" s="239">
        <v>13428.0175</v>
      </c>
      <c r="Y47" s="240"/>
      <c r="Z47" s="240">
        <v>28570.25</v>
      </c>
      <c r="AA47" s="240"/>
      <c r="AB47" s="240">
        <v>9428.1825000000008</v>
      </c>
      <c r="AC47" s="240"/>
      <c r="AD47" s="240">
        <f t="shared" si="5"/>
        <v>62854.549999999996</v>
      </c>
      <c r="AE47" s="5"/>
    </row>
    <row r="48" spans="1:43" ht="13.5" customHeight="1" x14ac:dyDescent="0.2">
      <c r="F48" s="398"/>
      <c r="G48" s="239"/>
      <c r="H48" s="239"/>
      <c r="I48" s="240"/>
      <c r="J48" s="239"/>
      <c r="K48" s="240"/>
      <c r="L48" s="239"/>
      <c r="M48" s="240"/>
      <c r="N48" s="239"/>
      <c r="O48" s="240"/>
      <c r="P48" s="239"/>
      <c r="Q48" s="240"/>
      <c r="R48" s="239"/>
      <c r="S48" s="240"/>
      <c r="T48" s="239"/>
      <c r="U48" s="240"/>
      <c r="V48" s="279"/>
      <c r="W48" s="240"/>
      <c r="X48" s="279"/>
      <c r="Y48" s="240"/>
      <c r="Z48" s="239"/>
      <c r="AA48" s="240"/>
      <c r="AB48" s="240"/>
      <c r="AC48" s="240"/>
      <c r="AD48" s="240"/>
      <c r="AE48" s="5"/>
    </row>
    <row r="49" spans="1:43" ht="13.5" customHeight="1" x14ac:dyDescent="0.2">
      <c r="E49" s="91" t="s">
        <v>335</v>
      </c>
      <c r="F49" s="276">
        <f>SUM(F45:F48)</f>
        <v>357460</v>
      </c>
      <c r="G49" s="240"/>
      <c r="H49" s="276">
        <f>SUM(H45:H48)</f>
        <v>0</v>
      </c>
      <c r="I49" s="240"/>
      <c r="J49" s="276">
        <f>SUM(J45:J48)</f>
        <v>357460</v>
      </c>
      <c r="K49" s="240"/>
      <c r="L49" s="276">
        <f>SUM(L45:L48)</f>
        <v>111787</v>
      </c>
      <c r="M49" s="240"/>
      <c r="N49" s="276">
        <f>SUM(N45:N48)</f>
        <v>0</v>
      </c>
      <c r="O49" s="240"/>
      <c r="P49" s="276">
        <f>SUM(P45:P48)</f>
        <v>0</v>
      </c>
      <c r="Q49" s="240"/>
      <c r="R49" s="276">
        <f>SUM(R45:R48)</f>
        <v>0</v>
      </c>
      <c r="S49" s="240"/>
      <c r="T49" s="276">
        <f>SUM(T45:T48)</f>
        <v>0</v>
      </c>
      <c r="U49" s="240"/>
      <c r="V49" s="276">
        <f>SUM(V45:V48)</f>
        <v>0</v>
      </c>
      <c r="W49" s="240"/>
      <c r="X49" s="276">
        <f>SUM(X45:X48)</f>
        <v>27011.37</v>
      </c>
      <c r="Y49" s="240"/>
      <c r="Z49" s="276">
        <f>SUM(Z45:Z48)</f>
        <v>57471</v>
      </c>
      <c r="AA49" s="240"/>
      <c r="AB49" s="276">
        <f>SUM(AB44:AB48)</f>
        <v>18965.43</v>
      </c>
      <c r="AC49" s="240"/>
      <c r="AD49" s="276">
        <f>SUM(AD44:AD48)</f>
        <v>142225.19999999998</v>
      </c>
      <c r="AE49" s="5"/>
    </row>
    <row r="50" spans="1:43" ht="13.5" customHeight="1" x14ac:dyDescent="0.2">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5"/>
    </row>
    <row r="51" spans="1:43" ht="13.5" customHeight="1" x14ac:dyDescent="0.2">
      <c r="B51" s="5" t="s">
        <v>227</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5"/>
    </row>
    <row r="52" spans="1:43" ht="13.5" customHeight="1" x14ac:dyDescent="0.2">
      <c r="A52" s="399">
        <v>350</v>
      </c>
      <c r="B52" s="398"/>
      <c r="C52" s="398"/>
      <c r="D52" s="398" t="s">
        <v>497</v>
      </c>
      <c r="F52" s="240">
        <v>1000000</v>
      </c>
      <c r="G52" s="240"/>
      <c r="H52" s="240"/>
      <c r="I52" s="240"/>
      <c r="J52" s="240">
        <f>+F52-H52</f>
        <v>1000000</v>
      </c>
      <c r="K52" s="240"/>
      <c r="L52" s="240">
        <v>18799</v>
      </c>
      <c r="M52" s="240"/>
      <c r="N52" s="240">
        <v>68940</v>
      </c>
      <c r="O52" s="240"/>
      <c r="P52" s="240"/>
      <c r="Q52" s="240"/>
      <c r="R52" s="240"/>
      <c r="S52" s="240"/>
      <c r="T52" s="240"/>
      <c r="U52" s="240"/>
      <c r="V52" s="240"/>
      <c r="W52" s="240"/>
      <c r="X52" s="240">
        <v>99137</v>
      </c>
      <c r="Y52" s="240"/>
      <c r="Z52" s="240">
        <v>210930</v>
      </c>
      <c r="AA52" s="240"/>
      <c r="AB52" s="240">
        <v>69607</v>
      </c>
      <c r="AC52" s="240"/>
      <c r="AD52" s="240">
        <f t="shared" ref="AD52:AD54" si="6">J52-SUM(L52:AB52)</f>
        <v>532587</v>
      </c>
      <c r="AE52" s="5"/>
    </row>
    <row r="53" spans="1:43" ht="13.5" customHeight="1" x14ac:dyDescent="0.2">
      <c r="F53" s="240"/>
      <c r="G53" s="240"/>
      <c r="H53" s="240"/>
      <c r="I53" s="240"/>
      <c r="J53" s="240">
        <f>+F53-H53</f>
        <v>0</v>
      </c>
      <c r="K53" s="240"/>
      <c r="L53" s="240"/>
      <c r="M53" s="240"/>
      <c r="N53" s="240"/>
      <c r="O53" s="240"/>
      <c r="P53" s="240"/>
      <c r="Q53" s="240"/>
      <c r="R53" s="240"/>
      <c r="S53" s="240"/>
      <c r="T53" s="240"/>
      <c r="U53" s="240"/>
      <c r="V53" s="240"/>
      <c r="W53" s="240"/>
      <c r="X53" s="240"/>
      <c r="Y53" s="240"/>
      <c r="Z53" s="240"/>
      <c r="AA53" s="240"/>
      <c r="AB53" s="240"/>
      <c r="AC53" s="240"/>
      <c r="AD53" s="240">
        <f t="shared" si="6"/>
        <v>0</v>
      </c>
      <c r="AE53" s="5"/>
    </row>
    <row r="54" spans="1:43" ht="13.5" customHeight="1" x14ac:dyDescent="0.2">
      <c r="F54" s="240"/>
      <c r="G54" s="240"/>
      <c r="H54" s="240"/>
      <c r="I54" s="240"/>
      <c r="J54" s="240">
        <f>+F54-H54</f>
        <v>0</v>
      </c>
      <c r="K54" s="240"/>
      <c r="L54" s="240"/>
      <c r="M54" s="240"/>
      <c r="N54" s="240"/>
      <c r="O54" s="240"/>
      <c r="P54" s="240"/>
      <c r="Q54" s="240"/>
      <c r="R54" s="240"/>
      <c r="S54" s="240"/>
      <c r="T54" s="240"/>
      <c r="U54" s="240"/>
      <c r="V54" s="240"/>
      <c r="W54" s="240"/>
      <c r="X54" s="240"/>
      <c r="Y54" s="240"/>
      <c r="Z54" s="240"/>
      <c r="AA54" s="240"/>
      <c r="AB54" s="240"/>
      <c r="AC54" s="240"/>
      <c r="AD54" s="240">
        <f t="shared" si="6"/>
        <v>0</v>
      </c>
      <c r="AE54" s="5"/>
    </row>
    <row r="55" spans="1:43" ht="13.5" customHeight="1" x14ac:dyDescent="0.2">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5"/>
    </row>
    <row r="56" spans="1:43" ht="13.5" customHeight="1" x14ac:dyDescent="0.2">
      <c r="B56" s="5"/>
      <c r="C56" s="5"/>
      <c r="D56" s="5"/>
      <c r="E56" s="91" t="s">
        <v>336</v>
      </c>
      <c r="F56" s="276">
        <f>SUM(F52:F55)</f>
        <v>1000000</v>
      </c>
      <c r="G56" s="240"/>
      <c r="H56" s="276">
        <f>SUM(H52:H55)</f>
        <v>0</v>
      </c>
      <c r="I56" s="240"/>
      <c r="J56" s="276">
        <f>SUM(J52:J55)</f>
        <v>1000000</v>
      </c>
      <c r="K56" s="240"/>
      <c r="L56" s="276">
        <f>SUM(L52:L55)</f>
        <v>18799</v>
      </c>
      <c r="M56" s="240"/>
      <c r="N56" s="276">
        <f>SUM(N52:N55)</f>
        <v>68940</v>
      </c>
      <c r="O56" s="240"/>
      <c r="P56" s="276">
        <f>SUM(P52:P55)</f>
        <v>0</v>
      </c>
      <c r="Q56" s="240"/>
      <c r="R56" s="276">
        <f>SUM(R52:R55)</f>
        <v>0</v>
      </c>
      <c r="S56" s="240"/>
      <c r="T56" s="276">
        <f>SUM(T52:T55)</f>
        <v>0</v>
      </c>
      <c r="U56" s="240"/>
      <c r="V56" s="276">
        <f>SUM(V52:V55)</f>
        <v>0</v>
      </c>
      <c r="W56" s="240"/>
      <c r="X56" s="276">
        <f>SUM(X52:X55)</f>
        <v>99137</v>
      </c>
      <c r="Y56" s="240"/>
      <c r="Z56" s="276">
        <f>SUM(Z52:Z55)</f>
        <v>210930</v>
      </c>
      <c r="AA56" s="240"/>
      <c r="AB56" s="276">
        <f>SUM(AB51:AB55)</f>
        <v>69607</v>
      </c>
      <c r="AC56" s="240"/>
      <c r="AD56" s="276">
        <f>SUM(AD51:AD55)</f>
        <v>532587</v>
      </c>
      <c r="AE56" s="5"/>
    </row>
    <row r="57" spans="1:43" s="7" customFormat="1" ht="13.5" customHeight="1" x14ac:dyDescent="0.2">
      <c r="A57" s="5"/>
      <c r="B57" s="5"/>
      <c r="C57" s="5"/>
      <c r="D57" s="5"/>
      <c r="E57" s="5"/>
      <c r="F57" s="239"/>
      <c r="G57" s="239"/>
      <c r="H57" s="239"/>
      <c r="I57" s="240"/>
      <c r="J57" s="239"/>
      <c r="K57" s="240"/>
      <c r="L57" s="239"/>
      <c r="M57" s="240"/>
      <c r="N57" s="239"/>
      <c r="O57" s="240"/>
      <c r="P57" s="239"/>
      <c r="Q57" s="240"/>
      <c r="R57" s="239"/>
      <c r="S57" s="240"/>
      <c r="T57" s="239"/>
      <c r="U57" s="240"/>
      <c r="V57" s="279"/>
      <c r="W57" s="240"/>
      <c r="X57" s="279"/>
      <c r="Y57" s="240"/>
      <c r="Z57" s="239"/>
      <c r="AA57" s="240"/>
      <c r="AB57" s="240"/>
      <c r="AC57" s="240"/>
      <c r="AD57" s="240"/>
      <c r="AE57" s="5"/>
      <c r="AF57" s="5"/>
      <c r="AG57" s="5"/>
      <c r="AH57" s="5"/>
      <c r="AI57" s="5"/>
      <c r="AJ57" s="5"/>
      <c r="AK57" s="5"/>
      <c r="AL57" s="5"/>
      <c r="AM57" s="5"/>
      <c r="AN57" s="5"/>
      <c r="AO57" s="5"/>
      <c r="AP57" s="5"/>
      <c r="AQ57" s="5"/>
    </row>
    <row r="58" spans="1:43" ht="13.5" customHeight="1" x14ac:dyDescent="0.2">
      <c r="B58" s="6" t="s">
        <v>44</v>
      </c>
      <c r="F58" s="239"/>
      <c r="G58" s="239"/>
      <c r="H58" s="239"/>
      <c r="I58" s="240"/>
      <c r="J58" s="239"/>
      <c r="K58" s="240"/>
      <c r="L58" s="239"/>
      <c r="M58" s="240"/>
      <c r="N58" s="239"/>
      <c r="O58" s="240"/>
      <c r="P58" s="239"/>
      <c r="Q58" s="240"/>
      <c r="R58" s="239"/>
      <c r="S58" s="240"/>
      <c r="T58" s="239"/>
      <c r="U58" s="240"/>
      <c r="V58" s="239"/>
      <c r="W58" s="240"/>
      <c r="X58" s="239"/>
      <c r="Y58" s="240"/>
      <c r="Z58" s="239"/>
      <c r="AA58" s="240"/>
      <c r="AB58" s="240"/>
      <c r="AC58" s="240"/>
      <c r="AD58" s="240"/>
      <c r="AE58" s="5"/>
    </row>
    <row r="59" spans="1:43" ht="13.5" customHeight="1" x14ac:dyDescent="0.2">
      <c r="A59" s="399">
        <v>601</v>
      </c>
      <c r="B59" s="398"/>
      <c r="C59" s="398"/>
      <c r="D59" s="398" t="s">
        <v>498</v>
      </c>
      <c r="F59" s="398">
        <v>1123410</v>
      </c>
      <c r="G59" s="239"/>
      <c r="H59" s="239">
        <v>50000</v>
      </c>
      <c r="I59" s="240"/>
      <c r="J59" s="240">
        <f t="shared" ref="J59:J64" si="7">+F59-H59</f>
        <v>1073410</v>
      </c>
      <c r="K59" s="240"/>
      <c r="L59" s="239"/>
      <c r="M59" s="239"/>
      <c r="N59" s="239"/>
      <c r="O59" s="239"/>
      <c r="P59" s="239"/>
      <c r="Q59" s="240"/>
      <c r="R59" s="239">
        <v>186700</v>
      </c>
      <c r="S59" s="240"/>
      <c r="T59" s="239"/>
      <c r="U59" s="240"/>
      <c r="V59" s="239"/>
      <c r="W59" s="240"/>
      <c r="X59" s="239">
        <v>95894.334999999992</v>
      </c>
      <c r="Y59" s="240"/>
      <c r="Z59" s="240">
        <v>204030.5</v>
      </c>
      <c r="AA59" s="240"/>
      <c r="AB59" s="240">
        <v>67330.065000000002</v>
      </c>
      <c r="AC59" s="240"/>
      <c r="AD59" s="240">
        <f t="shared" ref="AD59:AD64" si="8">J59-SUM(L59:AB59)</f>
        <v>519455.10000000009</v>
      </c>
      <c r="AE59" s="5"/>
    </row>
    <row r="60" spans="1:43" ht="13.5" customHeight="1" x14ac:dyDescent="0.2">
      <c r="A60" s="399">
        <v>604</v>
      </c>
      <c r="B60" s="398"/>
      <c r="C60" s="398"/>
      <c r="D60" s="398" t="s">
        <v>499</v>
      </c>
      <c r="F60" s="398">
        <v>111372</v>
      </c>
      <c r="G60" s="239"/>
      <c r="H60" s="239"/>
      <c r="I60" s="240"/>
      <c r="J60" s="240">
        <f t="shared" si="7"/>
        <v>111372</v>
      </c>
      <c r="K60" s="240"/>
      <c r="L60" s="239"/>
      <c r="M60" s="239"/>
      <c r="N60" s="239"/>
      <c r="O60" s="239"/>
      <c r="P60" s="239"/>
      <c r="Q60" s="240"/>
      <c r="R60" s="239">
        <v>62178</v>
      </c>
      <c r="S60" s="240"/>
      <c r="T60" s="239"/>
      <c r="U60" s="240"/>
      <c r="V60" s="239"/>
      <c r="W60" s="240"/>
      <c r="X60" s="239">
        <v>5780.2950000000001</v>
      </c>
      <c r="Y60" s="240"/>
      <c r="Z60" s="240">
        <v>12298.5</v>
      </c>
      <c r="AA60" s="240"/>
      <c r="AB60" s="240">
        <v>4058.5050000000001</v>
      </c>
      <c r="AC60" s="240"/>
      <c r="AD60" s="240">
        <f t="shared" si="8"/>
        <v>27056.699999999997</v>
      </c>
      <c r="AE60" s="5"/>
    </row>
    <row r="61" spans="1:43" ht="13.5" customHeight="1" x14ac:dyDescent="0.2">
      <c r="A61" s="399">
        <v>605</v>
      </c>
      <c r="B61" s="398"/>
      <c r="C61" s="398"/>
      <c r="D61" s="398" t="s">
        <v>500</v>
      </c>
      <c r="F61" s="398">
        <v>123240</v>
      </c>
      <c r="G61" s="239"/>
      <c r="H61" s="239"/>
      <c r="I61" s="240"/>
      <c r="J61" s="240">
        <f t="shared" ref="J61" si="9">+F61-H61</f>
        <v>123240</v>
      </c>
      <c r="K61" s="240"/>
      <c r="L61" s="239"/>
      <c r="M61" s="239"/>
      <c r="N61" s="239"/>
      <c r="O61" s="239"/>
      <c r="P61" s="239"/>
      <c r="Q61" s="240"/>
      <c r="R61" s="239">
        <v>50511</v>
      </c>
      <c r="S61" s="240"/>
      <c r="T61" s="239"/>
      <c r="U61" s="240"/>
      <c r="V61" s="239"/>
      <c r="W61" s="240"/>
      <c r="X61" s="239">
        <v>8545.6574999999993</v>
      </c>
      <c r="Y61" s="240"/>
      <c r="Z61" s="240">
        <v>18182.25</v>
      </c>
      <c r="AA61" s="240"/>
      <c r="AB61" s="240">
        <v>6000.1424999999999</v>
      </c>
      <c r="AC61" s="240"/>
      <c r="AD61" s="240">
        <f t="shared" ref="AD61" si="10">J61-SUM(L61:AB61)</f>
        <v>40000.949999999997</v>
      </c>
      <c r="AE61" s="5"/>
    </row>
    <row r="62" spans="1:43" ht="13.5" customHeight="1" x14ac:dyDescent="0.2">
      <c r="A62" s="399">
        <v>607</v>
      </c>
      <c r="B62" s="398"/>
      <c r="C62" s="398"/>
      <c r="D62" s="398" t="s">
        <v>501</v>
      </c>
      <c r="F62" s="398">
        <v>1194196</v>
      </c>
      <c r="G62" s="239"/>
      <c r="H62" s="239">
        <v>250000</v>
      </c>
      <c r="I62" s="240"/>
      <c r="J62" s="240">
        <f t="shared" si="7"/>
        <v>944196</v>
      </c>
      <c r="K62" s="240"/>
      <c r="L62" s="239">
        <v>944196</v>
      </c>
      <c r="M62" s="239"/>
      <c r="N62" s="239"/>
      <c r="O62" s="239"/>
      <c r="P62" s="239"/>
      <c r="Q62" s="240"/>
      <c r="R62" s="239"/>
      <c r="S62" s="240"/>
      <c r="T62" s="239"/>
      <c r="U62" s="240"/>
      <c r="V62" s="239"/>
      <c r="W62" s="240"/>
      <c r="X62" s="239">
        <v>0</v>
      </c>
      <c r="Y62" s="240"/>
      <c r="Z62" s="240">
        <v>0</v>
      </c>
      <c r="AA62" s="240"/>
      <c r="AB62" s="240">
        <v>0</v>
      </c>
      <c r="AC62" s="240"/>
      <c r="AD62" s="240">
        <f t="shared" si="8"/>
        <v>0</v>
      </c>
      <c r="AE62" s="5"/>
    </row>
    <row r="63" spans="1:43" ht="13.5" customHeight="1" x14ac:dyDescent="0.2">
      <c r="A63" s="399">
        <v>611</v>
      </c>
      <c r="B63" s="398"/>
      <c r="C63" s="398"/>
      <c r="D63" s="398" t="s">
        <v>502</v>
      </c>
      <c r="F63" s="398">
        <v>11815</v>
      </c>
      <c r="G63" s="239"/>
      <c r="H63" s="239"/>
      <c r="I63" s="240"/>
      <c r="J63" s="240">
        <f t="shared" ref="J63" si="11">+F63-H63</f>
        <v>11815</v>
      </c>
      <c r="K63" s="240"/>
      <c r="L63" s="239"/>
      <c r="M63" s="239"/>
      <c r="N63" s="239"/>
      <c r="O63" s="239"/>
      <c r="P63" s="239"/>
      <c r="Q63" s="240"/>
      <c r="R63" s="239"/>
      <c r="S63" s="240"/>
      <c r="T63" s="239"/>
      <c r="U63" s="240"/>
      <c r="V63" s="239"/>
      <c r="W63" s="240"/>
      <c r="X63" s="239">
        <v>1388.2624999999998</v>
      </c>
      <c r="Y63" s="240"/>
      <c r="Z63" s="240">
        <v>2953.75</v>
      </c>
      <c r="AA63" s="240"/>
      <c r="AB63" s="240">
        <v>974.73750000000007</v>
      </c>
      <c r="AC63" s="240"/>
      <c r="AD63" s="240">
        <f t="shared" ref="AD63" si="12">J63-SUM(L63:AB63)</f>
        <v>6498.25</v>
      </c>
      <c r="AE63" s="5"/>
    </row>
    <row r="64" spans="1:43" ht="13.5" customHeight="1" x14ac:dyDescent="0.2">
      <c r="A64" s="399">
        <v>625</v>
      </c>
      <c r="B64" s="398"/>
      <c r="C64" s="398"/>
      <c r="D64" s="398" t="s">
        <v>503</v>
      </c>
      <c r="F64" s="398">
        <v>113736</v>
      </c>
      <c r="G64" s="239"/>
      <c r="H64" s="239"/>
      <c r="I64" s="240"/>
      <c r="J64" s="240">
        <f t="shared" si="7"/>
        <v>113736</v>
      </c>
      <c r="K64" s="240"/>
      <c r="L64" s="239"/>
      <c r="M64" s="239"/>
      <c r="N64" s="239"/>
      <c r="O64" s="239"/>
      <c r="P64" s="239"/>
      <c r="Q64" s="240"/>
      <c r="R64" s="239">
        <v>50000</v>
      </c>
      <c r="S64" s="240"/>
      <c r="T64" s="239"/>
      <c r="U64" s="240"/>
      <c r="V64" s="239"/>
      <c r="W64" s="240"/>
      <c r="X64" s="239">
        <v>6566.6049999999996</v>
      </c>
      <c r="Y64" s="240"/>
      <c r="Z64" s="240">
        <v>13971.5</v>
      </c>
      <c r="AA64" s="240"/>
      <c r="AB64" s="240">
        <v>4610.5950000000003</v>
      </c>
      <c r="AC64" s="240"/>
      <c r="AD64" s="240">
        <f t="shared" si="8"/>
        <v>38587.300000000003</v>
      </c>
      <c r="AE64" s="5"/>
    </row>
    <row r="65" spans="1:43" ht="13.5" customHeight="1" x14ac:dyDescent="0.2">
      <c r="F65" s="239"/>
      <c r="G65" s="239"/>
      <c r="H65" s="239"/>
      <c r="I65" s="240"/>
      <c r="J65" s="239"/>
      <c r="K65" s="240"/>
      <c r="L65" s="239"/>
      <c r="M65" s="240"/>
      <c r="N65" s="239"/>
      <c r="O65" s="240"/>
      <c r="P65" s="239"/>
      <c r="Q65" s="240"/>
      <c r="R65" s="239"/>
      <c r="S65" s="240"/>
      <c r="T65" s="239"/>
      <c r="U65" s="240"/>
      <c r="V65" s="239"/>
      <c r="W65" s="240"/>
      <c r="X65" s="239"/>
      <c r="Y65" s="240"/>
      <c r="Z65" s="239"/>
      <c r="AA65" s="240"/>
      <c r="AB65" s="240"/>
      <c r="AC65" s="240"/>
      <c r="AD65" s="240"/>
      <c r="AE65" s="5"/>
    </row>
    <row r="66" spans="1:43" ht="13.5" customHeight="1" x14ac:dyDescent="0.2">
      <c r="E66" s="91" t="s">
        <v>338</v>
      </c>
      <c r="F66" s="276">
        <f>SUM(F59:F65)</f>
        <v>2677769</v>
      </c>
      <c r="G66" s="240"/>
      <c r="H66" s="276">
        <f>SUM(H59:H65)</f>
        <v>300000</v>
      </c>
      <c r="I66" s="240"/>
      <c r="J66" s="276">
        <f>SUM(J59:J65)</f>
        <v>2377769</v>
      </c>
      <c r="K66" s="240"/>
      <c r="L66" s="276">
        <f>SUM(L59:L65)</f>
        <v>944196</v>
      </c>
      <c r="M66" s="240"/>
      <c r="N66" s="276">
        <f>SUM(N59:N65)</f>
        <v>0</v>
      </c>
      <c r="O66" s="240"/>
      <c r="P66" s="276">
        <f>SUM(P59:P65)</f>
        <v>0</v>
      </c>
      <c r="Q66" s="240"/>
      <c r="R66" s="276">
        <f>SUM(R59:R65)</f>
        <v>349389</v>
      </c>
      <c r="S66" s="240"/>
      <c r="T66" s="276">
        <f>SUM(T59:T65)</f>
        <v>0</v>
      </c>
      <c r="U66" s="240"/>
      <c r="V66" s="276">
        <f>SUM(V59:V65)</f>
        <v>0</v>
      </c>
      <c r="W66" s="240"/>
      <c r="X66" s="276">
        <f>SUM(X59:X65)</f>
        <v>118175.15499999998</v>
      </c>
      <c r="Y66" s="240"/>
      <c r="Z66" s="276">
        <f>SUM(Z59:Z65)</f>
        <v>251436.5</v>
      </c>
      <c r="AA66" s="240"/>
      <c r="AB66" s="276">
        <f>SUM(AB58:AB65)</f>
        <v>82974.045000000013</v>
      </c>
      <c r="AC66" s="240"/>
      <c r="AD66" s="276">
        <f>SUM(AD58:AD65)</f>
        <v>631598.30000000005</v>
      </c>
      <c r="AE66" s="5"/>
    </row>
    <row r="67" spans="1:43" ht="13.5" customHeight="1" x14ac:dyDescent="0.2">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5"/>
    </row>
    <row r="68" spans="1:43" ht="13.5" customHeight="1" x14ac:dyDescent="0.2">
      <c r="B68" s="6" t="s">
        <v>133</v>
      </c>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5"/>
    </row>
    <row r="69" spans="1:43" ht="13.5" customHeight="1" x14ac:dyDescent="0.2">
      <c r="A69" s="399">
        <v>700</v>
      </c>
      <c r="B69" s="398"/>
      <c r="C69" s="398"/>
      <c r="D69" s="398" t="s">
        <v>504</v>
      </c>
      <c r="F69" s="239">
        <v>143018</v>
      </c>
      <c r="G69" s="239"/>
      <c r="H69" s="239"/>
      <c r="I69" s="240"/>
      <c r="J69" s="240">
        <f>+F69-H69</f>
        <v>143018</v>
      </c>
      <c r="K69" s="275"/>
      <c r="L69" s="239"/>
      <c r="M69" s="275"/>
      <c r="N69" s="239"/>
      <c r="O69" s="275"/>
      <c r="P69" s="239"/>
      <c r="Q69" s="275"/>
      <c r="R69" s="239"/>
      <c r="S69" s="275"/>
      <c r="T69" s="239"/>
      <c r="U69" s="275"/>
      <c r="V69" s="239"/>
      <c r="W69" s="240"/>
      <c r="X69" s="239">
        <v>14777</v>
      </c>
      <c r="Y69" s="240"/>
      <c r="Z69" s="240">
        <v>31441</v>
      </c>
      <c r="AA69" s="240"/>
      <c r="AB69" s="239">
        <v>10375</v>
      </c>
      <c r="AC69" s="240"/>
      <c r="AD69" s="240">
        <f t="shared" ref="AD69:AD72" si="13">J69-SUM(L69:AB69)</f>
        <v>86425</v>
      </c>
      <c r="AE69" s="5"/>
      <c r="AF69" s="6"/>
      <c r="AH69" s="5">
        <f t="shared" ref="AH69" si="14">Z69*0.47</f>
        <v>14777.269999999999</v>
      </c>
      <c r="AJ69" s="6"/>
      <c r="AK69" s="6"/>
      <c r="AL69" s="6"/>
      <c r="AM69" s="6"/>
      <c r="AN69" s="6"/>
      <c r="AO69" s="6"/>
      <c r="AP69" s="6"/>
      <c r="AQ69" s="6"/>
    </row>
    <row r="70" spans="1:43" ht="13.5" customHeight="1" x14ac:dyDescent="0.2">
      <c r="F70" s="239"/>
      <c r="G70" s="239"/>
      <c r="H70" s="239"/>
      <c r="I70" s="240"/>
      <c r="J70" s="240">
        <f>+F70-H70</f>
        <v>0</v>
      </c>
      <c r="K70" s="275"/>
      <c r="L70" s="239"/>
      <c r="M70" s="275"/>
      <c r="N70" s="239"/>
      <c r="O70" s="275"/>
      <c r="P70" s="239"/>
      <c r="Q70" s="275"/>
      <c r="R70" s="239"/>
      <c r="S70" s="275"/>
      <c r="T70" s="239"/>
      <c r="U70" s="275"/>
      <c r="V70" s="239"/>
      <c r="W70" s="240"/>
      <c r="X70" s="239"/>
      <c r="Y70" s="240"/>
      <c r="Z70" s="240"/>
      <c r="AA70" s="240"/>
      <c r="AB70" s="239"/>
      <c r="AC70" s="240"/>
      <c r="AD70" s="240">
        <f t="shared" si="13"/>
        <v>0</v>
      </c>
      <c r="AE70" s="5"/>
      <c r="AF70" s="6"/>
      <c r="AJ70" s="6"/>
      <c r="AK70" s="6"/>
      <c r="AL70" s="6"/>
      <c r="AM70" s="6"/>
      <c r="AN70" s="6"/>
      <c r="AO70" s="6"/>
      <c r="AP70" s="6"/>
      <c r="AQ70" s="6"/>
    </row>
    <row r="71" spans="1:43" ht="13.5" customHeight="1" x14ac:dyDescent="0.2">
      <c r="F71" s="239"/>
      <c r="G71" s="239"/>
      <c r="H71" s="239"/>
      <c r="I71" s="240"/>
      <c r="J71" s="240">
        <f>+F71-H71</f>
        <v>0</v>
      </c>
      <c r="K71" s="275"/>
      <c r="L71" s="239"/>
      <c r="M71" s="275"/>
      <c r="N71" s="239"/>
      <c r="O71" s="275"/>
      <c r="P71" s="239"/>
      <c r="Q71" s="275"/>
      <c r="R71" s="239"/>
      <c r="S71" s="275"/>
      <c r="T71" s="239"/>
      <c r="U71" s="275"/>
      <c r="V71" s="239"/>
      <c r="W71" s="240"/>
      <c r="X71" s="239"/>
      <c r="Y71" s="240"/>
      <c r="Z71" s="240"/>
      <c r="AA71" s="240"/>
      <c r="AB71" s="239"/>
      <c r="AC71" s="240"/>
      <c r="AD71" s="240">
        <f t="shared" si="13"/>
        <v>0</v>
      </c>
      <c r="AE71" s="5"/>
      <c r="AF71" s="6"/>
      <c r="AJ71" s="6"/>
      <c r="AK71" s="6"/>
      <c r="AL71" s="6"/>
      <c r="AM71" s="6"/>
      <c r="AN71" s="6"/>
      <c r="AO71" s="6"/>
      <c r="AP71" s="6"/>
      <c r="AQ71" s="6"/>
    </row>
    <row r="72" spans="1:43" ht="13.5" customHeight="1" x14ac:dyDescent="0.2">
      <c r="F72" s="239"/>
      <c r="G72" s="239"/>
      <c r="H72" s="239"/>
      <c r="I72" s="240"/>
      <c r="J72" s="240">
        <f>+F72-H72</f>
        <v>0</v>
      </c>
      <c r="K72" s="275"/>
      <c r="L72" s="239"/>
      <c r="M72" s="275"/>
      <c r="N72" s="239"/>
      <c r="O72" s="275"/>
      <c r="P72" s="239"/>
      <c r="Q72" s="275"/>
      <c r="R72" s="239"/>
      <c r="S72" s="275"/>
      <c r="T72" s="239"/>
      <c r="U72" s="275"/>
      <c r="V72" s="239"/>
      <c r="W72" s="240"/>
      <c r="X72" s="239"/>
      <c r="Y72" s="240"/>
      <c r="Z72" s="240"/>
      <c r="AA72" s="240"/>
      <c r="AB72" s="239"/>
      <c r="AC72" s="240"/>
      <c r="AD72" s="240">
        <f t="shared" si="13"/>
        <v>0</v>
      </c>
      <c r="AE72" s="5"/>
      <c r="AF72" s="6"/>
      <c r="AJ72" s="6"/>
      <c r="AK72" s="6"/>
      <c r="AL72" s="6"/>
      <c r="AM72" s="6"/>
      <c r="AN72" s="6"/>
      <c r="AO72" s="6"/>
      <c r="AP72" s="6"/>
      <c r="AQ72" s="6"/>
    </row>
    <row r="73" spans="1:43" ht="13.5" customHeight="1" x14ac:dyDescent="0.2">
      <c r="F73" s="239"/>
      <c r="G73" s="239"/>
      <c r="H73" s="239"/>
      <c r="I73" s="240"/>
      <c r="J73" s="239"/>
      <c r="K73" s="275"/>
      <c r="L73" s="240"/>
      <c r="M73" s="275"/>
      <c r="N73" s="240"/>
      <c r="O73" s="275"/>
      <c r="P73" s="240"/>
      <c r="Q73" s="275"/>
      <c r="R73" s="240"/>
      <c r="S73" s="275"/>
      <c r="T73" s="240"/>
      <c r="U73" s="275"/>
      <c r="V73" s="240"/>
      <c r="W73" s="240"/>
      <c r="X73" s="240"/>
      <c r="Y73" s="240"/>
      <c r="Z73" s="240"/>
      <c r="AA73" s="240"/>
      <c r="AB73" s="239"/>
      <c r="AC73" s="240"/>
      <c r="AD73" s="239"/>
      <c r="AE73" s="5"/>
      <c r="AF73" s="6"/>
      <c r="AJ73" s="6"/>
      <c r="AK73" s="6"/>
      <c r="AL73" s="6"/>
      <c r="AM73" s="6"/>
      <c r="AN73" s="6"/>
      <c r="AO73" s="6"/>
      <c r="AP73" s="6"/>
      <c r="AQ73" s="6"/>
    </row>
    <row r="74" spans="1:43" ht="13.5" customHeight="1" x14ac:dyDescent="0.2">
      <c r="E74" s="91" t="s">
        <v>337</v>
      </c>
      <c r="F74" s="276">
        <f>SUM(F69:F73)</f>
        <v>143018</v>
      </c>
      <c r="G74" s="240"/>
      <c r="H74" s="276">
        <f>SUM(H69:H73)</f>
        <v>0</v>
      </c>
      <c r="I74" s="240"/>
      <c r="J74" s="276">
        <f>SUM(J69:J73)</f>
        <v>143018</v>
      </c>
      <c r="K74" s="240"/>
      <c r="L74" s="276">
        <f>SUM(L69:L73)</f>
        <v>0</v>
      </c>
      <c r="M74" s="240"/>
      <c r="N74" s="276">
        <f>SUM(N69:N73)</f>
        <v>0</v>
      </c>
      <c r="O74" s="240"/>
      <c r="P74" s="276">
        <f>SUM(P69:P73)</f>
        <v>0</v>
      </c>
      <c r="Q74" s="240"/>
      <c r="R74" s="276">
        <f>SUM(R69:R73)</f>
        <v>0</v>
      </c>
      <c r="S74" s="240"/>
      <c r="T74" s="276">
        <f>SUM(T69:T73)</f>
        <v>0</v>
      </c>
      <c r="U74" s="240"/>
      <c r="V74" s="276">
        <f>SUM(V69:V73)</f>
        <v>0</v>
      </c>
      <c r="W74" s="240"/>
      <c r="X74" s="276">
        <f>SUM(X69:X73)</f>
        <v>14777</v>
      </c>
      <c r="Y74" s="240"/>
      <c r="Z74" s="276">
        <f>SUM(Z69:Z73)</f>
        <v>31441</v>
      </c>
      <c r="AA74" s="240"/>
      <c r="AB74" s="276">
        <f>SUM(AB68:AB73)</f>
        <v>10375</v>
      </c>
      <c r="AC74" s="240"/>
      <c r="AD74" s="276">
        <f>SUM(AD68:AD73)</f>
        <v>86425</v>
      </c>
      <c r="AE74" s="5"/>
      <c r="AF74" s="6"/>
      <c r="AJ74" s="6"/>
      <c r="AK74" s="6"/>
      <c r="AL74" s="6"/>
      <c r="AM74" s="6"/>
      <c r="AN74" s="6"/>
      <c r="AO74" s="6"/>
      <c r="AP74" s="6"/>
      <c r="AQ74" s="6"/>
    </row>
    <row r="75" spans="1:43" ht="13.5" customHeight="1" x14ac:dyDescent="0.2">
      <c r="F75" s="240"/>
      <c r="G75" s="240"/>
      <c r="H75" s="240"/>
      <c r="I75" s="240"/>
      <c r="J75" s="240"/>
      <c r="K75" s="275"/>
      <c r="L75" s="240"/>
      <c r="M75" s="275"/>
      <c r="N75" s="240"/>
      <c r="O75" s="275"/>
      <c r="P75" s="240"/>
      <c r="Q75" s="275"/>
      <c r="R75" s="240"/>
      <c r="S75" s="275"/>
      <c r="T75" s="240"/>
      <c r="U75" s="275"/>
      <c r="V75" s="240"/>
      <c r="W75" s="240"/>
      <c r="X75" s="240"/>
      <c r="Y75" s="240"/>
      <c r="Z75" s="240"/>
      <c r="AA75" s="240"/>
      <c r="AB75" s="239"/>
      <c r="AC75" s="240"/>
      <c r="AD75" s="239"/>
      <c r="AE75" s="5"/>
      <c r="AF75" s="6"/>
      <c r="AJ75" s="6"/>
      <c r="AK75" s="6"/>
      <c r="AL75" s="6"/>
      <c r="AM75" s="6"/>
      <c r="AN75" s="6"/>
      <c r="AO75" s="6"/>
      <c r="AP75" s="6"/>
      <c r="AQ75" s="6"/>
    </row>
    <row r="76" spans="1:43" ht="13.5" customHeight="1" x14ac:dyDescent="0.2">
      <c r="B76" s="6" t="s">
        <v>225</v>
      </c>
      <c r="F76" s="239"/>
      <c r="G76" s="239"/>
      <c r="H76" s="239"/>
      <c r="I76" s="240"/>
      <c r="J76" s="239"/>
      <c r="K76" s="240"/>
      <c r="L76" s="239"/>
      <c r="M76" s="240"/>
      <c r="N76" s="239"/>
      <c r="O76" s="240"/>
      <c r="P76" s="239"/>
      <c r="Q76" s="240"/>
      <c r="R76" s="239"/>
      <c r="S76" s="240"/>
      <c r="T76" s="239"/>
      <c r="U76" s="240"/>
      <c r="V76" s="239"/>
      <c r="W76" s="240"/>
      <c r="X76" s="239"/>
      <c r="Y76" s="240"/>
      <c r="Z76" s="239"/>
      <c r="AA76" s="240"/>
      <c r="AB76" s="239"/>
      <c r="AC76" s="240"/>
      <c r="AD76" s="239"/>
      <c r="AE76" s="5"/>
      <c r="AF76" s="6"/>
      <c r="AJ76" s="6"/>
      <c r="AK76" s="6"/>
      <c r="AL76" s="6"/>
      <c r="AM76" s="6"/>
      <c r="AN76" s="6"/>
      <c r="AO76" s="6"/>
      <c r="AP76" s="6"/>
      <c r="AQ76" s="6"/>
    </row>
    <row r="77" spans="1:43" ht="13.5" customHeight="1" x14ac:dyDescent="0.2">
      <c r="F77" s="240"/>
      <c r="G77" s="240"/>
      <c r="H77" s="240"/>
      <c r="I77" s="240"/>
      <c r="J77" s="240">
        <f>+F77-H77</f>
        <v>0</v>
      </c>
      <c r="K77" s="240"/>
      <c r="L77" s="240"/>
      <c r="M77" s="240"/>
      <c r="N77" s="240"/>
      <c r="O77" s="240"/>
      <c r="P77" s="240"/>
      <c r="Q77" s="240"/>
      <c r="R77" s="240"/>
      <c r="S77" s="240"/>
      <c r="T77" s="240"/>
      <c r="U77" s="240"/>
      <c r="V77" s="240"/>
      <c r="W77" s="240"/>
      <c r="X77" s="240"/>
      <c r="Y77" s="240"/>
      <c r="Z77" s="240"/>
      <c r="AA77" s="240"/>
      <c r="AB77" s="240"/>
      <c r="AC77" s="240"/>
      <c r="AD77" s="240">
        <f t="shared" ref="AD77:AD80" si="15">J77-SUM(L77:AB77)</f>
        <v>0</v>
      </c>
      <c r="AE77" s="5"/>
    </row>
    <row r="78" spans="1:43" ht="13.5" customHeight="1" x14ac:dyDescent="0.2">
      <c r="F78" s="240"/>
      <c r="G78" s="240"/>
      <c r="H78" s="240"/>
      <c r="I78" s="240"/>
      <c r="J78" s="240">
        <f>+F78-H78</f>
        <v>0</v>
      </c>
      <c r="K78" s="240"/>
      <c r="L78" s="240"/>
      <c r="M78" s="240"/>
      <c r="N78" s="240"/>
      <c r="O78" s="240"/>
      <c r="P78" s="240"/>
      <c r="Q78" s="240"/>
      <c r="R78" s="240"/>
      <c r="S78" s="240"/>
      <c r="T78" s="240"/>
      <c r="U78" s="240"/>
      <c r="V78" s="240"/>
      <c r="W78" s="240"/>
      <c r="X78" s="240"/>
      <c r="Y78" s="240"/>
      <c r="Z78" s="240"/>
      <c r="AA78" s="240"/>
      <c r="AB78" s="240"/>
      <c r="AC78" s="240"/>
      <c r="AD78" s="240">
        <f t="shared" si="15"/>
        <v>0</v>
      </c>
      <c r="AE78" s="5"/>
    </row>
    <row r="79" spans="1:43" ht="13.5" customHeight="1" x14ac:dyDescent="0.2">
      <c r="F79" s="240"/>
      <c r="G79" s="240"/>
      <c r="H79" s="240"/>
      <c r="I79" s="240"/>
      <c r="J79" s="240">
        <f>+F79-H79</f>
        <v>0</v>
      </c>
      <c r="K79" s="240"/>
      <c r="L79" s="240"/>
      <c r="M79" s="240"/>
      <c r="N79" s="240"/>
      <c r="O79" s="240"/>
      <c r="P79" s="240"/>
      <c r="Q79" s="240"/>
      <c r="R79" s="240"/>
      <c r="S79" s="240"/>
      <c r="T79" s="240"/>
      <c r="U79" s="240"/>
      <c r="V79" s="240"/>
      <c r="W79" s="240"/>
      <c r="X79" s="240"/>
      <c r="Y79" s="240"/>
      <c r="Z79" s="240"/>
      <c r="AA79" s="240"/>
      <c r="AB79" s="240"/>
      <c r="AC79" s="240"/>
      <c r="AD79" s="240">
        <f t="shared" si="15"/>
        <v>0</v>
      </c>
      <c r="AE79" s="5"/>
    </row>
    <row r="80" spans="1:43" ht="13.5" customHeight="1" x14ac:dyDescent="0.2">
      <c r="F80" s="240"/>
      <c r="G80" s="240"/>
      <c r="H80" s="240"/>
      <c r="I80" s="240"/>
      <c r="J80" s="240">
        <f>+F80-H80</f>
        <v>0</v>
      </c>
      <c r="K80" s="240"/>
      <c r="L80" s="240"/>
      <c r="M80" s="240"/>
      <c r="N80" s="240"/>
      <c r="O80" s="240"/>
      <c r="P80" s="240"/>
      <c r="Q80" s="240"/>
      <c r="R80" s="240"/>
      <c r="S80" s="240"/>
      <c r="T80" s="240"/>
      <c r="U80" s="240"/>
      <c r="V80" s="240"/>
      <c r="W80" s="240"/>
      <c r="X80" s="240"/>
      <c r="Y80" s="240"/>
      <c r="Z80" s="240"/>
      <c r="AA80" s="240"/>
      <c r="AB80" s="240"/>
      <c r="AC80" s="240"/>
      <c r="AD80" s="240">
        <f t="shared" si="15"/>
        <v>0</v>
      </c>
      <c r="AE80" s="5"/>
    </row>
    <row r="81" spans="1:31" ht="13.5" customHeight="1" x14ac:dyDescent="0.2">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5"/>
    </row>
    <row r="82" spans="1:31" ht="13.5" customHeight="1" x14ac:dyDescent="0.2">
      <c r="E82" s="91" t="s">
        <v>339</v>
      </c>
      <c r="F82" s="276">
        <f>SUM(F77:F81)</f>
        <v>0</v>
      </c>
      <c r="G82" s="240"/>
      <c r="H82" s="276">
        <f>SUM(H77:H81)</f>
        <v>0</v>
      </c>
      <c r="I82" s="240"/>
      <c r="J82" s="276">
        <f>SUM(J77:J81)</f>
        <v>0</v>
      </c>
      <c r="K82" s="240"/>
      <c r="L82" s="276">
        <f>SUM(L77:L81)</f>
        <v>0</v>
      </c>
      <c r="M82" s="240"/>
      <c r="N82" s="276">
        <f>SUM(N77:N81)</f>
        <v>0</v>
      </c>
      <c r="O82" s="240"/>
      <c r="P82" s="276">
        <f>SUM(P77:P81)</f>
        <v>0</v>
      </c>
      <c r="Q82" s="240"/>
      <c r="R82" s="276">
        <f>SUM(R77:R81)</f>
        <v>0</v>
      </c>
      <c r="S82" s="240"/>
      <c r="T82" s="276">
        <f>SUM(T77:T81)</f>
        <v>0</v>
      </c>
      <c r="U82" s="240"/>
      <c r="V82" s="276">
        <f>SUM(V77:V81)</f>
        <v>0</v>
      </c>
      <c r="W82" s="240"/>
      <c r="X82" s="276">
        <f>SUM(X77:X81)</f>
        <v>0</v>
      </c>
      <c r="Y82" s="240"/>
      <c r="Z82" s="276">
        <f>SUM(Z77:Z81)</f>
        <v>0</v>
      </c>
      <c r="AA82" s="240"/>
      <c r="AB82" s="276">
        <f>SUM(AB76:AB81)</f>
        <v>0</v>
      </c>
      <c r="AC82" s="240"/>
      <c r="AD82" s="276">
        <f>SUM(AD76:AD81)</f>
        <v>0</v>
      </c>
      <c r="AE82" s="5"/>
    </row>
    <row r="83" spans="1:31" ht="13.5" customHeight="1" x14ac:dyDescent="0.2">
      <c r="F83" s="239"/>
      <c r="G83" s="239"/>
      <c r="H83" s="239"/>
      <c r="I83" s="240"/>
      <c r="J83" s="239"/>
      <c r="K83" s="240"/>
      <c r="L83" s="239"/>
      <c r="M83" s="240"/>
      <c r="N83" s="239"/>
      <c r="O83" s="240"/>
      <c r="P83" s="239"/>
      <c r="Q83" s="240"/>
      <c r="R83" s="239"/>
      <c r="S83" s="240"/>
      <c r="T83" s="239"/>
      <c r="U83" s="240"/>
      <c r="V83" s="239"/>
      <c r="W83" s="240"/>
      <c r="X83" s="239"/>
      <c r="Y83" s="240"/>
      <c r="Z83" s="239"/>
      <c r="AA83" s="240"/>
      <c r="AB83" s="240"/>
      <c r="AC83" s="240"/>
      <c r="AD83" s="240"/>
      <c r="AE83" s="5"/>
    </row>
    <row r="84" spans="1:31" ht="13.5" customHeight="1" x14ac:dyDescent="0.2">
      <c r="B84" s="6" t="s">
        <v>46</v>
      </c>
      <c r="F84" s="239"/>
      <c r="G84" s="239"/>
      <c r="H84" s="239"/>
      <c r="I84" s="240"/>
      <c r="J84" s="239"/>
      <c r="K84" s="240"/>
      <c r="L84" s="239"/>
      <c r="M84" s="240"/>
      <c r="N84" s="239"/>
      <c r="O84" s="240"/>
      <c r="P84" s="239"/>
      <c r="Q84" s="240"/>
      <c r="R84" s="239"/>
      <c r="S84" s="240"/>
      <c r="T84" s="239"/>
      <c r="U84" s="240"/>
      <c r="V84" s="275"/>
      <c r="W84" s="240"/>
      <c r="X84" s="275"/>
      <c r="Y84" s="240"/>
      <c r="Z84" s="239"/>
      <c r="AA84" s="240"/>
      <c r="AB84" s="240"/>
      <c r="AC84" s="240"/>
      <c r="AD84" s="240"/>
      <c r="AE84" s="5"/>
    </row>
    <row r="85" spans="1:31" ht="13.5" customHeight="1" x14ac:dyDescent="0.2">
      <c r="A85" s="399">
        <v>800</v>
      </c>
      <c r="B85" s="398"/>
      <c r="C85" s="398"/>
      <c r="D85" s="398" t="s">
        <v>505</v>
      </c>
      <c r="F85" s="398">
        <v>1355719</v>
      </c>
      <c r="G85" s="239"/>
      <c r="H85" s="239"/>
      <c r="I85" s="240"/>
      <c r="J85" s="240">
        <f>+F85-H85</f>
        <v>1355719</v>
      </c>
      <c r="K85" s="240"/>
      <c r="L85" s="239"/>
      <c r="M85" s="240"/>
      <c r="N85" s="239">
        <v>130705</v>
      </c>
      <c r="O85" s="240"/>
      <c r="P85" s="239"/>
      <c r="Q85" s="240"/>
      <c r="R85" s="239">
        <v>215457</v>
      </c>
      <c r="S85" s="240"/>
      <c r="T85" s="239"/>
      <c r="U85" s="240"/>
      <c r="V85" s="275"/>
      <c r="W85" s="240"/>
      <c r="X85" s="275">
        <v>109397</v>
      </c>
      <c r="Y85" s="240"/>
      <c r="Z85" s="240">
        <v>232759</v>
      </c>
      <c r="AA85" s="240"/>
      <c r="AB85" s="240">
        <v>76810.47</v>
      </c>
      <c r="AC85" s="240"/>
      <c r="AD85" s="240">
        <f t="shared" ref="AD85:AD88" si="16">J85-SUM(L85:AB85)</f>
        <v>590590.53</v>
      </c>
      <c r="AE85" s="5"/>
    </row>
    <row r="86" spans="1:31" ht="13.5" customHeight="1" x14ac:dyDescent="0.2">
      <c r="A86" s="399">
        <v>825</v>
      </c>
      <c r="B86" s="398"/>
      <c r="C86" s="398"/>
      <c r="D86" s="398" t="s">
        <v>506</v>
      </c>
      <c r="F86" s="398">
        <v>111120</v>
      </c>
      <c r="G86" s="239"/>
      <c r="H86" s="239"/>
      <c r="I86" s="240"/>
      <c r="J86" s="240">
        <f>+F86-H86</f>
        <v>111120</v>
      </c>
      <c r="K86" s="240"/>
      <c r="L86" s="239"/>
      <c r="M86" s="240"/>
      <c r="N86" s="239"/>
      <c r="O86" s="240"/>
      <c r="P86" s="239"/>
      <c r="Q86" s="240"/>
      <c r="R86" s="239">
        <v>15700</v>
      </c>
      <c r="S86" s="240"/>
      <c r="T86" s="239"/>
      <c r="U86" s="240"/>
      <c r="V86" s="275"/>
      <c r="W86" s="240"/>
      <c r="X86" s="275">
        <v>11212</v>
      </c>
      <c r="Y86" s="240"/>
      <c r="Z86" s="240">
        <v>23855</v>
      </c>
      <c r="AA86" s="240"/>
      <c r="AB86" s="240">
        <v>7872.1500000000005</v>
      </c>
      <c r="AC86" s="240"/>
      <c r="AD86" s="240">
        <f t="shared" si="16"/>
        <v>52480.85</v>
      </c>
      <c r="AE86" s="5"/>
    </row>
    <row r="87" spans="1:31" ht="13.5" customHeight="1" x14ac:dyDescent="0.2">
      <c r="F87" s="239"/>
      <c r="G87" s="239"/>
      <c r="H87" s="239"/>
      <c r="I87" s="240"/>
      <c r="J87" s="240">
        <f>+F87-H87</f>
        <v>0</v>
      </c>
      <c r="K87" s="240"/>
      <c r="L87" s="239"/>
      <c r="M87" s="240"/>
      <c r="N87" s="239"/>
      <c r="O87" s="240"/>
      <c r="P87" s="239"/>
      <c r="Q87" s="240"/>
      <c r="R87" s="239"/>
      <c r="S87" s="240"/>
      <c r="T87" s="239"/>
      <c r="U87" s="240"/>
      <c r="V87" s="275"/>
      <c r="W87" s="240"/>
      <c r="X87" s="275"/>
      <c r="Y87" s="240"/>
      <c r="Z87" s="240"/>
      <c r="AA87" s="240"/>
      <c r="AB87" s="240"/>
      <c r="AC87" s="240"/>
      <c r="AD87" s="240">
        <f t="shared" si="16"/>
        <v>0</v>
      </c>
      <c r="AE87" s="5"/>
    </row>
    <row r="88" spans="1:31" ht="13.5" customHeight="1" x14ac:dyDescent="0.2">
      <c r="F88" s="239"/>
      <c r="G88" s="239"/>
      <c r="H88" s="239"/>
      <c r="I88" s="240"/>
      <c r="J88" s="240">
        <f>+F88-H88</f>
        <v>0</v>
      </c>
      <c r="K88" s="240"/>
      <c r="L88" s="239"/>
      <c r="M88" s="240"/>
      <c r="N88" s="239"/>
      <c r="O88" s="240"/>
      <c r="P88" s="239"/>
      <c r="Q88" s="240"/>
      <c r="R88" s="239"/>
      <c r="S88" s="240"/>
      <c r="T88" s="239"/>
      <c r="U88" s="240"/>
      <c r="V88" s="275"/>
      <c r="W88" s="240"/>
      <c r="X88" s="275"/>
      <c r="Y88" s="240"/>
      <c r="Z88" s="240"/>
      <c r="AA88" s="240"/>
      <c r="AB88" s="240"/>
      <c r="AC88" s="240"/>
      <c r="AD88" s="240">
        <f t="shared" si="16"/>
        <v>0</v>
      </c>
      <c r="AE88" s="5"/>
    </row>
    <row r="89" spans="1:31" ht="13.5" customHeight="1" x14ac:dyDescent="0.2">
      <c r="B89" s="4"/>
      <c r="C89" s="4"/>
      <c r="D89" s="4"/>
      <c r="E89" s="4"/>
      <c r="F89" s="277"/>
      <c r="G89" s="277"/>
      <c r="H89" s="277"/>
      <c r="I89" s="277"/>
      <c r="J89" s="277"/>
      <c r="K89" s="277"/>
      <c r="L89" s="278"/>
      <c r="M89" s="277"/>
      <c r="N89" s="278"/>
      <c r="O89" s="277"/>
      <c r="P89" s="278"/>
      <c r="Q89" s="277"/>
      <c r="R89" s="278"/>
      <c r="S89" s="277"/>
      <c r="T89" s="278"/>
      <c r="U89" s="277"/>
      <c r="V89" s="275"/>
      <c r="W89" s="277"/>
      <c r="X89" s="275"/>
      <c r="Y89" s="240"/>
      <c r="Z89" s="277"/>
      <c r="AA89" s="240"/>
      <c r="AB89" s="240"/>
      <c r="AC89" s="240"/>
      <c r="AD89" s="240"/>
      <c r="AE89" s="4"/>
    </row>
    <row r="90" spans="1:31" ht="13.5" customHeight="1" x14ac:dyDescent="0.2">
      <c r="E90" s="91" t="s">
        <v>340</v>
      </c>
      <c r="F90" s="276">
        <f>SUM(F85:F89)</f>
        <v>1466839</v>
      </c>
      <c r="G90" s="240"/>
      <c r="H90" s="276">
        <f>SUM(H85:H89)</f>
        <v>0</v>
      </c>
      <c r="I90" s="240"/>
      <c r="J90" s="276">
        <f>SUM(J85:J89)</f>
        <v>1466839</v>
      </c>
      <c r="K90" s="240"/>
      <c r="L90" s="276">
        <f>SUM(L85:L89)</f>
        <v>0</v>
      </c>
      <c r="M90" s="240"/>
      <c r="N90" s="276">
        <f>SUM(N85:N89)</f>
        <v>130705</v>
      </c>
      <c r="O90" s="240"/>
      <c r="P90" s="276">
        <f>SUM(P85:P89)</f>
        <v>0</v>
      </c>
      <c r="Q90" s="240"/>
      <c r="R90" s="276">
        <f>SUM(R85:R89)</f>
        <v>231157</v>
      </c>
      <c r="S90" s="240"/>
      <c r="T90" s="276">
        <f>SUM(T85:T89)</f>
        <v>0</v>
      </c>
      <c r="U90" s="240"/>
      <c r="V90" s="276">
        <f>SUM(V85:V89)</f>
        <v>0</v>
      </c>
      <c r="W90" s="240"/>
      <c r="X90" s="276">
        <f>SUM(X85:X89)</f>
        <v>120609</v>
      </c>
      <c r="Y90" s="240"/>
      <c r="Z90" s="276">
        <f>SUM(Z85:Z89)</f>
        <v>256614</v>
      </c>
      <c r="AA90" s="240"/>
      <c r="AB90" s="276">
        <f>SUM(AB84:AB89)</f>
        <v>84682.62</v>
      </c>
      <c r="AC90" s="240"/>
      <c r="AD90" s="276">
        <f>SUM(AD84:AD89)</f>
        <v>643071.38</v>
      </c>
      <c r="AE90" s="5"/>
    </row>
    <row r="91" spans="1:31" ht="13.5" customHeight="1" x14ac:dyDescent="0.2">
      <c r="F91" s="239"/>
      <c r="G91" s="239"/>
      <c r="H91" s="239"/>
      <c r="I91" s="240"/>
      <c r="J91" s="239"/>
      <c r="K91" s="240"/>
      <c r="L91" s="239"/>
      <c r="M91" s="240"/>
      <c r="N91" s="239"/>
      <c r="O91" s="240"/>
      <c r="P91" s="239"/>
      <c r="Q91" s="240"/>
      <c r="R91" s="239"/>
      <c r="S91" s="240"/>
      <c r="T91" s="239"/>
      <c r="U91" s="240"/>
      <c r="V91" s="239"/>
      <c r="W91" s="240"/>
      <c r="X91" s="239"/>
      <c r="Y91" s="240"/>
      <c r="Z91" s="239"/>
      <c r="AA91" s="240"/>
      <c r="AB91" s="240"/>
      <c r="AC91" s="240"/>
      <c r="AD91" s="240"/>
      <c r="AE91" s="5"/>
    </row>
    <row r="92" spans="1:31" ht="13.5" customHeight="1" x14ac:dyDescent="0.2">
      <c r="B92" s="6" t="s">
        <v>47</v>
      </c>
      <c r="F92" s="239"/>
      <c r="G92" s="239"/>
      <c r="H92" s="239"/>
      <c r="I92" s="240"/>
      <c r="J92" s="239"/>
      <c r="K92" s="240"/>
      <c r="L92" s="239"/>
      <c r="M92" s="240"/>
      <c r="N92" s="239"/>
      <c r="O92" s="240"/>
      <c r="P92" s="239"/>
      <c r="Q92" s="240"/>
      <c r="R92" s="239"/>
      <c r="S92" s="240"/>
      <c r="T92" s="239"/>
      <c r="U92" s="240"/>
      <c r="V92" s="239"/>
      <c r="W92" s="240"/>
      <c r="X92" s="239"/>
      <c r="Y92" s="240"/>
      <c r="Z92" s="239"/>
      <c r="AA92" s="240"/>
      <c r="AB92" s="240"/>
      <c r="AC92" s="240"/>
      <c r="AD92" s="240"/>
      <c r="AE92" s="5"/>
    </row>
    <row r="93" spans="1:31" ht="13.5" customHeight="1" x14ac:dyDescent="0.2">
      <c r="A93" s="398"/>
      <c r="B93" s="398" t="s">
        <v>507</v>
      </c>
      <c r="C93" s="398"/>
      <c r="D93" s="398"/>
      <c r="F93" s="239"/>
      <c r="G93" s="239"/>
      <c r="H93" s="239"/>
      <c r="I93" s="240"/>
      <c r="J93" s="240"/>
      <c r="K93" s="240"/>
      <c r="L93" s="239"/>
      <c r="M93" s="240"/>
      <c r="N93" s="239"/>
      <c r="O93" s="240"/>
      <c r="P93" s="239"/>
      <c r="Q93" s="240"/>
      <c r="R93" s="239"/>
      <c r="S93" s="240"/>
      <c r="T93" s="239"/>
      <c r="U93" s="240"/>
      <c r="V93" s="239"/>
      <c r="W93" s="240"/>
      <c r="X93" s="239"/>
      <c r="Y93" s="240"/>
      <c r="Z93" s="240"/>
      <c r="AA93" s="240"/>
      <c r="AB93" s="240"/>
      <c r="AC93" s="240"/>
      <c r="AD93" s="240"/>
      <c r="AE93" s="5"/>
    </row>
    <row r="94" spans="1:31" ht="13.5" customHeight="1" x14ac:dyDescent="0.2">
      <c r="A94" s="399">
        <v>900</v>
      </c>
      <c r="B94" s="398"/>
      <c r="C94" s="398"/>
      <c r="D94" s="398" t="s">
        <v>508</v>
      </c>
      <c r="F94" s="239">
        <v>1264622</v>
      </c>
      <c r="G94" s="239"/>
      <c r="H94" s="239"/>
      <c r="I94" s="240"/>
      <c r="J94" s="240">
        <f>+F94-H94</f>
        <v>1264622</v>
      </c>
      <c r="K94" s="240"/>
      <c r="L94" s="239">
        <v>267387</v>
      </c>
      <c r="M94" s="240"/>
      <c r="N94" s="239"/>
      <c r="O94" s="240"/>
      <c r="P94" s="239"/>
      <c r="Q94" s="240"/>
      <c r="R94" s="239"/>
      <c r="S94" s="240"/>
      <c r="T94" s="239"/>
      <c r="U94" s="240"/>
      <c r="V94" s="239"/>
      <c r="W94" s="240"/>
      <c r="X94" s="239">
        <v>108177.19749999999</v>
      </c>
      <c r="Y94" s="240"/>
      <c r="Z94" s="240">
        <v>230164.25</v>
      </c>
      <c r="AA94" s="240"/>
      <c r="AB94" s="240">
        <v>75954.202499999999</v>
      </c>
      <c r="AC94" s="240"/>
      <c r="AD94" s="240">
        <f t="shared" ref="AD94:AD96" si="17">J94-SUM(L94:AB94)</f>
        <v>582939.35</v>
      </c>
      <c r="AE94" s="5"/>
    </row>
    <row r="95" spans="1:31" ht="13.5" customHeight="1" x14ac:dyDescent="0.2">
      <c r="A95" s="399">
        <v>905</v>
      </c>
      <c r="B95" s="398"/>
      <c r="C95" s="398"/>
      <c r="D95" s="398" t="s">
        <v>509</v>
      </c>
      <c r="F95" s="239">
        <v>135552</v>
      </c>
      <c r="G95" s="239"/>
      <c r="H95" s="239"/>
      <c r="I95" s="240"/>
      <c r="J95" s="240">
        <f>+F95-H95</f>
        <v>135552</v>
      </c>
      <c r="K95" s="240"/>
      <c r="L95" s="239"/>
      <c r="M95" s="240"/>
      <c r="N95" s="239"/>
      <c r="O95" s="240"/>
      <c r="P95" s="239"/>
      <c r="Q95" s="240"/>
      <c r="R95" s="239"/>
      <c r="S95" s="240"/>
      <c r="T95" s="239"/>
      <c r="U95" s="240"/>
      <c r="V95" s="239"/>
      <c r="W95" s="240"/>
      <c r="X95" s="239">
        <v>15927.359999999999</v>
      </c>
      <c r="Y95" s="240"/>
      <c r="Z95" s="240">
        <v>33888</v>
      </c>
      <c r="AA95" s="240"/>
      <c r="AB95" s="240">
        <v>11183.04</v>
      </c>
      <c r="AC95" s="240"/>
      <c r="AD95" s="240">
        <f t="shared" si="17"/>
        <v>74553.600000000006</v>
      </c>
      <c r="AE95" s="5"/>
    </row>
    <row r="96" spans="1:31" ht="13.5" customHeight="1" x14ac:dyDescent="0.2">
      <c r="A96" s="399">
        <v>916</v>
      </c>
      <c r="B96" s="398"/>
      <c r="C96" s="398"/>
      <c r="D96" s="398" t="s">
        <v>510</v>
      </c>
      <c r="F96" s="239">
        <v>114608</v>
      </c>
      <c r="G96" s="239"/>
      <c r="H96" s="239"/>
      <c r="I96" s="240"/>
      <c r="J96" s="240">
        <f>+F96-H96</f>
        <v>114608</v>
      </c>
      <c r="K96" s="240"/>
      <c r="L96" s="239"/>
      <c r="M96" s="240"/>
      <c r="N96" s="239"/>
      <c r="O96" s="240"/>
      <c r="P96" s="239"/>
      <c r="Q96" s="240"/>
      <c r="R96" s="239"/>
      <c r="S96" s="240"/>
      <c r="T96" s="239"/>
      <c r="U96" s="240"/>
      <c r="V96" s="239"/>
      <c r="W96" s="240"/>
      <c r="X96" s="239">
        <v>13466.439999999999</v>
      </c>
      <c r="Y96" s="240"/>
      <c r="Z96" s="240">
        <v>28652</v>
      </c>
      <c r="AA96" s="240"/>
      <c r="AB96" s="240">
        <v>9455.16</v>
      </c>
      <c r="AC96" s="240"/>
      <c r="AD96" s="240">
        <f t="shared" si="17"/>
        <v>63034.399999999994</v>
      </c>
      <c r="AE96" s="5"/>
    </row>
    <row r="97" spans="1:31" ht="13.5" customHeight="1" x14ac:dyDescent="0.2">
      <c r="F97" s="239"/>
      <c r="G97" s="239"/>
      <c r="H97" s="239"/>
      <c r="I97" s="240"/>
      <c r="J97" s="239"/>
      <c r="K97" s="240"/>
      <c r="L97" s="239"/>
      <c r="M97" s="240"/>
      <c r="N97" s="239"/>
      <c r="O97" s="240"/>
      <c r="P97" s="239"/>
      <c r="Q97" s="240"/>
      <c r="R97" s="239"/>
      <c r="S97" s="240"/>
      <c r="T97" s="239"/>
      <c r="U97" s="240"/>
      <c r="V97" s="239"/>
      <c r="W97" s="240"/>
      <c r="X97" s="239"/>
      <c r="Y97" s="240"/>
      <c r="Z97" s="239"/>
      <c r="AA97" s="240"/>
      <c r="AB97" s="240"/>
      <c r="AC97" s="240"/>
      <c r="AD97" s="240"/>
      <c r="AE97" s="5"/>
    </row>
    <row r="98" spans="1:31" ht="13.5" customHeight="1" x14ac:dyDescent="0.2">
      <c r="E98" s="91" t="s">
        <v>341</v>
      </c>
      <c r="F98" s="276">
        <f>SUM(F94:F97)</f>
        <v>1514782</v>
      </c>
      <c r="G98" s="240"/>
      <c r="H98" s="276">
        <f>SUM(H94:H97)</f>
        <v>0</v>
      </c>
      <c r="I98" s="240"/>
      <c r="J98" s="276">
        <f>SUM(J94:J97)</f>
        <v>1514782</v>
      </c>
      <c r="K98" s="240"/>
      <c r="L98" s="276">
        <f>SUM(L94:L97)</f>
        <v>267387</v>
      </c>
      <c r="M98" s="240"/>
      <c r="N98" s="276">
        <f>SUM(N94:N97)</f>
        <v>0</v>
      </c>
      <c r="O98" s="240"/>
      <c r="P98" s="276">
        <f>SUM(P94:P97)</f>
        <v>0</v>
      </c>
      <c r="Q98" s="240"/>
      <c r="R98" s="276">
        <f>SUM(R94:R97)</f>
        <v>0</v>
      </c>
      <c r="S98" s="240"/>
      <c r="T98" s="276">
        <f>SUM(T94:T97)</f>
        <v>0</v>
      </c>
      <c r="U98" s="240"/>
      <c r="V98" s="276">
        <f>SUM(V94:V97)</f>
        <v>0</v>
      </c>
      <c r="W98" s="240"/>
      <c r="X98" s="276">
        <f>SUM(X94:X97)</f>
        <v>137570.9975</v>
      </c>
      <c r="Y98" s="240"/>
      <c r="Z98" s="276">
        <f>SUM(Z92:Z97)</f>
        <v>292704.25</v>
      </c>
      <c r="AA98" s="240"/>
      <c r="AB98" s="276">
        <f>SUM(AB92:AB97)</f>
        <v>96592.402499999997</v>
      </c>
      <c r="AC98" s="240"/>
      <c r="AD98" s="276">
        <f>SUM(AD92:AD97)</f>
        <v>720527.35</v>
      </c>
      <c r="AE98" s="5"/>
    </row>
    <row r="99" spans="1:31" ht="13.5" customHeight="1" x14ac:dyDescent="0.2">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5"/>
    </row>
    <row r="100" spans="1:31" ht="13.5" customHeight="1" x14ac:dyDescent="0.2">
      <c r="B100" s="6" t="s">
        <v>50</v>
      </c>
      <c r="F100" s="239"/>
      <c r="G100" s="239"/>
      <c r="H100" s="239"/>
      <c r="I100" s="240"/>
      <c r="J100" s="239"/>
      <c r="K100" s="240"/>
      <c r="L100" s="239"/>
      <c r="M100" s="240"/>
      <c r="N100" s="239"/>
      <c r="O100" s="240"/>
      <c r="P100" s="239"/>
      <c r="Q100" s="240"/>
      <c r="R100" s="239"/>
      <c r="S100" s="240"/>
      <c r="T100" s="239"/>
      <c r="U100" s="240"/>
      <c r="V100" s="275"/>
      <c r="W100" s="240"/>
      <c r="X100" s="275"/>
      <c r="Y100" s="240"/>
      <c r="Z100" s="239"/>
      <c r="AA100" s="240"/>
      <c r="AB100" s="240"/>
      <c r="AC100" s="240"/>
      <c r="AD100" s="240"/>
      <c r="AE100" s="5"/>
    </row>
    <row r="101" spans="1:31" ht="13.5" customHeight="1" x14ac:dyDescent="0.2">
      <c r="A101" s="399">
        <v>710</v>
      </c>
      <c r="B101" s="398"/>
      <c r="C101" s="398"/>
      <c r="D101" s="398" t="s">
        <v>511</v>
      </c>
      <c r="F101" s="239">
        <v>167537</v>
      </c>
      <c r="G101" s="239"/>
      <c r="H101" s="239"/>
      <c r="I101" s="240"/>
      <c r="J101" s="240">
        <f>+F101-H101</f>
        <v>167537</v>
      </c>
      <c r="K101" s="240"/>
      <c r="L101" s="239"/>
      <c r="M101" s="240"/>
      <c r="N101" s="239"/>
      <c r="O101" s="240"/>
      <c r="P101" s="239"/>
      <c r="Q101" s="240"/>
      <c r="R101" s="239"/>
      <c r="S101" s="240"/>
      <c r="T101" s="239"/>
      <c r="U101" s="240"/>
      <c r="V101" s="275"/>
      <c r="W101" s="240"/>
      <c r="X101" s="275">
        <v>19340</v>
      </c>
      <c r="Y101" s="240"/>
      <c r="Z101" s="240">
        <v>41148</v>
      </c>
      <c r="AA101" s="240"/>
      <c r="AB101" s="240">
        <v>13579</v>
      </c>
      <c r="AC101" s="240"/>
      <c r="AD101" s="240">
        <f t="shared" ref="AD101:AD104" si="18">J101-SUM(L101:AB101)</f>
        <v>93470</v>
      </c>
      <c r="AE101" s="5"/>
    </row>
    <row r="102" spans="1:31" ht="13.5" customHeight="1" x14ac:dyDescent="0.2">
      <c r="F102" s="239"/>
      <c r="G102" s="239"/>
      <c r="H102" s="239"/>
      <c r="I102" s="240"/>
      <c r="J102" s="240">
        <f>+F102-H102</f>
        <v>0</v>
      </c>
      <c r="K102" s="240"/>
      <c r="L102" s="239"/>
      <c r="M102" s="240"/>
      <c r="N102" s="239"/>
      <c r="O102" s="240"/>
      <c r="P102" s="239"/>
      <c r="Q102" s="240"/>
      <c r="R102" s="239"/>
      <c r="S102" s="240"/>
      <c r="T102" s="239"/>
      <c r="U102" s="240"/>
      <c r="V102" s="275"/>
      <c r="W102" s="240"/>
      <c r="X102" s="275"/>
      <c r="Y102" s="240"/>
      <c r="Z102" s="240"/>
      <c r="AA102" s="240"/>
      <c r="AB102" s="240"/>
      <c r="AC102" s="240"/>
      <c r="AD102" s="240">
        <f t="shared" si="18"/>
        <v>0</v>
      </c>
      <c r="AE102" s="5"/>
    </row>
    <row r="103" spans="1:31" ht="13.5" customHeight="1" x14ac:dyDescent="0.2">
      <c r="F103" s="239"/>
      <c r="G103" s="239"/>
      <c r="H103" s="239"/>
      <c r="I103" s="240"/>
      <c r="J103" s="240">
        <f>+F103-H103</f>
        <v>0</v>
      </c>
      <c r="K103" s="240"/>
      <c r="L103" s="239"/>
      <c r="M103" s="240"/>
      <c r="N103" s="239"/>
      <c r="O103" s="240"/>
      <c r="P103" s="239"/>
      <c r="Q103" s="240"/>
      <c r="R103" s="239"/>
      <c r="S103" s="240"/>
      <c r="T103" s="239"/>
      <c r="U103" s="240"/>
      <c r="V103" s="275"/>
      <c r="W103" s="240"/>
      <c r="X103" s="275"/>
      <c r="Y103" s="240"/>
      <c r="Z103" s="240"/>
      <c r="AA103" s="240"/>
      <c r="AB103" s="240"/>
      <c r="AC103" s="240"/>
      <c r="AD103" s="240">
        <f t="shared" si="18"/>
        <v>0</v>
      </c>
      <c r="AE103" s="5"/>
    </row>
    <row r="104" spans="1:31" ht="13.5" customHeight="1" x14ac:dyDescent="0.2">
      <c r="F104" s="239"/>
      <c r="G104" s="239"/>
      <c r="H104" s="239"/>
      <c r="I104" s="240"/>
      <c r="J104" s="240">
        <f>+F104-H104</f>
        <v>0</v>
      </c>
      <c r="K104" s="240"/>
      <c r="L104" s="239"/>
      <c r="M104" s="240"/>
      <c r="N104" s="239"/>
      <c r="O104" s="240"/>
      <c r="P104" s="239"/>
      <c r="Q104" s="240"/>
      <c r="R104" s="239"/>
      <c r="S104" s="240"/>
      <c r="T104" s="239"/>
      <c r="U104" s="240"/>
      <c r="V104" s="275"/>
      <c r="W104" s="240"/>
      <c r="X104" s="275"/>
      <c r="Y104" s="240"/>
      <c r="Z104" s="240"/>
      <c r="AA104" s="240"/>
      <c r="AB104" s="240"/>
      <c r="AC104" s="240"/>
      <c r="AD104" s="240">
        <f t="shared" si="18"/>
        <v>0</v>
      </c>
      <c r="AE104" s="5"/>
    </row>
    <row r="105" spans="1:31" ht="13.5" customHeight="1" x14ac:dyDescent="0.2">
      <c r="F105" s="239"/>
      <c r="G105" s="239"/>
      <c r="H105" s="239"/>
      <c r="I105" s="240"/>
      <c r="J105" s="239"/>
      <c r="K105" s="240"/>
      <c r="L105" s="239"/>
      <c r="M105" s="240"/>
      <c r="N105" s="239"/>
      <c r="O105" s="240"/>
      <c r="P105" s="239"/>
      <c r="Q105" s="240"/>
      <c r="R105" s="239"/>
      <c r="S105" s="240"/>
      <c r="T105" s="239"/>
      <c r="U105" s="240"/>
      <c r="V105" s="239"/>
      <c r="W105" s="240"/>
      <c r="X105" s="239"/>
      <c r="Y105" s="240"/>
      <c r="Z105" s="239"/>
      <c r="AA105" s="240"/>
      <c r="AB105" s="240"/>
      <c r="AC105" s="240"/>
      <c r="AD105" s="240"/>
      <c r="AE105" s="5"/>
    </row>
    <row r="106" spans="1:31" ht="13.5" customHeight="1" x14ac:dyDescent="0.2">
      <c r="E106" s="91" t="s">
        <v>342</v>
      </c>
      <c r="F106" s="276">
        <f>SUM(F101:F105)</f>
        <v>167537</v>
      </c>
      <c r="G106" s="240"/>
      <c r="H106" s="276">
        <f>SUM(H101:H105)</f>
        <v>0</v>
      </c>
      <c r="I106" s="240"/>
      <c r="J106" s="276">
        <f>SUM(J101:J105)</f>
        <v>167537</v>
      </c>
      <c r="K106" s="240"/>
      <c r="L106" s="276">
        <f>SUM(L101:L105)</f>
        <v>0</v>
      </c>
      <c r="M106" s="240"/>
      <c r="N106" s="276">
        <f>SUM(N101:N105)</f>
        <v>0</v>
      </c>
      <c r="O106" s="240"/>
      <c r="P106" s="276">
        <f>SUM(P101:P105)</f>
        <v>0</v>
      </c>
      <c r="Q106" s="240"/>
      <c r="R106" s="276">
        <f>SUM(R101:R105)</f>
        <v>0</v>
      </c>
      <c r="S106" s="240"/>
      <c r="T106" s="276">
        <f>SUM(T101:T105)</f>
        <v>0</v>
      </c>
      <c r="U106" s="240"/>
      <c r="V106" s="276">
        <f>SUM(V101:V105)</f>
        <v>0</v>
      </c>
      <c r="W106" s="240"/>
      <c r="X106" s="276">
        <f>SUM(X101:X105)</f>
        <v>19340</v>
      </c>
      <c r="Y106" s="240"/>
      <c r="Z106" s="276">
        <f>SUM(Z101:Z105)</f>
        <v>41148</v>
      </c>
      <c r="AA106" s="240"/>
      <c r="AB106" s="276">
        <f>SUM(AB100:AB105)</f>
        <v>13579</v>
      </c>
      <c r="AC106" s="240"/>
      <c r="AD106" s="276">
        <f>SUM(AD100:AD105)</f>
        <v>93470</v>
      </c>
      <c r="AE106" s="5"/>
    </row>
    <row r="107" spans="1:31" ht="13.5" customHeight="1" x14ac:dyDescent="0.2">
      <c r="F107" s="239"/>
      <c r="G107" s="239"/>
      <c r="H107" s="239"/>
      <c r="I107" s="240"/>
      <c r="J107" s="239"/>
      <c r="K107" s="240"/>
      <c r="L107" s="239"/>
      <c r="M107" s="240"/>
      <c r="N107" s="239"/>
      <c r="O107" s="240"/>
      <c r="P107" s="239"/>
      <c r="Q107" s="240"/>
      <c r="R107" s="239"/>
      <c r="S107" s="240"/>
      <c r="T107" s="239"/>
      <c r="U107" s="240"/>
      <c r="V107" s="239"/>
      <c r="W107" s="240"/>
      <c r="X107" s="239"/>
      <c r="Y107" s="240"/>
      <c r="Z107" s="239"/>
      <c r="AA107" s="240"/>
      <c r="AB107" s="240"/>
      <c r="AC107" s="240"/>
      <c r="AD107" s="240"/>
      <c r="AE107" s="5"/>
    </row>
    <row r="108" spans="1:31" ht="13.5" customHeight="1" x14ac:dyDescent="0.2">
      <c r="B108" s="6" t="s">
        <v>48</v>
      </c>
      <c r="F108" s="240"/>
      <c r="G108" s="240"/>
      <c r="H108" s="240"/>
      <c r="I108" s="240"/>
      <c r="J108" s="240"/>
      <c r="K108" s="240"/>
      <c r="L108" s="239"/>
      <c r="M108" s="240"/>
      <c r="N108" s="239"/>
      <c r="O108" s="240"/>
      <c r="P108" s="239"/>
      <c r="Q108" s="240"/>
      <c r="R108" s="239"/>
      <c r="S108" s="240"/>
      <c r="T108" s="239"/>
      <c r="U108" s="240"/>
      <c r="V108" s="275"/>
      <c r="W108" s="240"/>
      <c r="X108" s="275"/>
      <c r="Y108" s="240"/>
      <c r="Z108" s="239"/>
      <c r="AA108" s="240"/>
      <c r="AB108" s="240"/>
      <c r="AC108" s="240"/>
      <c r="AD108" s="240"/>
      <c r="AE108" s="5"/>
    </row>
    <row r="109" spans="1:31" ht="13.5" customHeight="1" x14ac:dyDescent="0.2">
      <c r="A109" s="399">
        <v>400</v>
      </c>
      <c r="B109" s="398"/>
      <c r="C109" s="398"/>
      <c r="D109" s="398" t="s">
        <v>512</v>
      </c>
      <c r="F109" s="239">
        <v>112814</v>
      </c>
      <c r="G109" s="239"/>
      <c r="H109" s="239"/>
      <c r="I109" s="240"/>
      <c r="J109" s="240">
        <f>+F109-H109</f>
        <v>112814</v>
      </c>
      <c r="K109" s="240"/>
      <c r="L109" s="240"/>
      <c r="M109" s="240"/>
      <c r="N109" s="240"/>
      <c r="O109" s="240"/>
      <c r="P109" s="240"/>
      <c r="Q109" s="240"/>
      <c r="R109" s="240"/>
      <c r="S109" s="240"/>
      <c r="T109" s="240"/>
      <c r="U109" s="240"/>
      <c r="V109" s="240"/>
      <c r="W109" s="240"/>
      <c r="X109" s="240">
        <v>11580.094999999999</v>
      </c>
      <c r="Y109" s="240"/>
      <c r="Z109" s="240">
        <v>24638.5</v>
      </c>
      <c r="AA109" s="240"/>
      <c r="AB109" s="240">
        <v>8130.7050000000008</v>
      </c>
      <c r="AC109" s="240"/>
      <c r="AD109" s="240">
        <f t="shared" ref="AD109:AD112" si="19">J109-SUM(L109:AB109)</f>
        <v>68464.7</v>
      </c>
      <c r="AE109" s="5"/>
    </row>
    <row r="110" spans="1:31" ht="13.5" customHeight="1" x14ac:dyDescent="0.2">
      <c r="A110" s="399">
        <v>401</v>
      </c>
      <c r="B110" s="398"/>
      <c r="C110" s="398"/>
      <c r="D110" s="398" t="s">
        <v>513</v>
      </c>
      <c r="F110" s="239">
        <v>161966</v>
      </c>
      <c r="G110" s="239"/>
      <c r="H110" s="239"/>
      <c r="I110" s="240"/>
      <c r="J110" s="240">
        <f>+F110-H110</f>
        <v>161966</v>
      </c>
      <c r="K110" s="240"/>
      <c r="L110" s="240"/>
      <c r="M110" s="240"/>
      <c r="N110" s="240"/>
      <c r="O110" s="240"/>
      <c r="P110" s="240"/>
      <c r="Q110" s="240"/>
      <c r="R110" s="240">
        <v>25000</v>
      </c>
      <c r="S110" s="240"/>
      <c r="T110" s="240"/>
      <c r="U110" s="240"/>
      <c r="V110" s="240"/>
      <c r="W110" s="240"/>
      <c r="X110" s="240">
        <v>16093.504999999999</v>
      </c>
      <c r="Y110" s="240"/>
      <c r="Z110" s="240">
        <v>34241.5</v>
      </c>
      <c r="AA110" s="240"/>
      <c r="AB110" s="240">
        <v>11299.695</v>
      </c>
      <c r="AC110" s="240"/>
      <c r="AD110" s="240">
        <f t="shared" si="19"/>
        <v>75331.299999999988</v>
      </c>
      <c r="AE110" s="5"/>
    </row>
    <row r="111" spans="1:31" ht="13.5" customHeight="1" x14ac:dyDescent="0.2">
      <c r="A111" s="399">
        <v>404</v>
      </c>
      <c r="B111" s="398"/>
      <c r="C111" s="398"/>
      <c r="D111" s="398" t="s">
        <v>514</v>
      </c>
      <c r="F111" s="239">
        <v>176174</v>
      </c>
      <c r="G111" s="239"/>
      <c r="H111" s="239"/>
      <c r="I111" s="240"/>
      <c r="J111" s="240">
        <f>+F111-H111</f>
        <v>176174</v>
      </c>
      <c r="K111" s="240"/>
      <c r="L111" s="240"/>
      <c r="M111" s="240"/>
      <c r="N111" s="240"/>
      <c r="O111" s="240"/>
      <c r="P111" s="240"/>
      <c r="Q111" s="240"/>
      <c r="R111" s="240"/>
      <c r="S111" s="240"/>
      <c r="T111" s="240"/>
      <c r="U111" s="240"/>
      <c r="V111" s="240"/>
      <c r="W111" s="240"/>
      <c r="X111" s="240">
        <v>17744.732499999998</v>
      </c>
      <c r="Y111" s="240"/>
      <c r="Z111" s="240">
        <v>37754.75</v>
      </c>
      <c r="AA111" s="240"/>
      <c r="AB111" s="240">
        <v>12459.067500000001</v>
      </c>
      <c r="AC111" s="240"/>
      <c r="AD111" s="240">
        <f t="shared" si="19"/>
        <v>108215.45</v>
      </c>
      <c r="AE111" s="5"/>
    </row>
    <row r="112" spans="1:31" ht="13.5" customHeight="1" x14ac:dyDescent="0.2">
      <c r="F112" s="239"/>
      <c r="G112" s="239"/>
      <c r="H112" s="239"/>
      <c r="I112" s="240"/>
      <c r="J112" s="240">
        <f>+F112-H112</f>
        <v>0</v>
      </c>
      <c r="K112" s="240"/>
      <c r="L112" s="240"/>
      <c r="M112" s="240"/>
      <c r="N112" s="240"/>
      <c r="O112" s="240"/>
      <c r="P112" s="240"/>
      <c r="Q112" s="240"/>
      <c r="R112" s="240"/>
      <c r="S112" s="240"/>
      <c r="T112" s="240"/>
      <c r="U112" s="240"/>
      <c r="V112" s="240"/>
      <c r="W112" s="240"/>
      <c r="X112" s="240"/>
      <c r="Y112" s="240"/>
      <c r="Z112" s="240"/>
      <c r="AA112" s="240"/>
      <c r="AB112" s="240"/>
      <c r="AC112" s="240"/>
      <c r="AD112" s="240">
        <f t="shared" si="19"/>
        <v>0</v>
      </c>
      <c r="AE112" s="5"/>
    </row>
    <row r="113" spans="2:43" ht="13.5" customHeight="1" x14ac:dyDescent="0.2">
      <c r="F113" s="239"/>
      <c r="G113" s="239"/>
      <c r="H113" s="239"/>
      <c r="I113" s="240"/>
      <c r="J113" s="239"/>
      <c r="K113" s="240"/>
      <c r="L113" s="240"/>
      <c r="M113" s="240"/>
      <c r="N113" s="240"/>
      <c r="O113" s="240"/>
      <c r="P113" s="240"/>
      <c r="Q113" s="240"/>
      <c r="R113" s="240"/>
      <c r="S113" s="240"/>
      <c r="T113" s="240"/>
      <c r="U113" s="240"/>
      <c r="V113" s="240"/>
      <c r="W113" s="240"/>
      <c r="X113" s="240"/>
      <c r="Y113" s="240"/>
      <c r="Z113" s="239"/>
      <c r="AA113" s="240"/>
      <c r="AB113" s="240"/>
      <c r="AC113" s="240"/>
      <c r="AD113" s="240"/>
      <c r="AE113" s="5"/>
    </row>
    <row r="114" spans="2:43" ht="13.5" customHeight="1" x14ac:dyDescent="0.2">
      <c r="E114" s="91" t="s">
        <v>343</v>
      </c>
      <c r="F114" s="276">
        <f>SUM(F109:F113)</f>
        <v>450954</v>
      </c>
      <c r="G114" s="240"/>
      <c r="H114" s="276">
        <f>SUM(H109:H113)</f>
        <v>0</v>
      </c>
      <c r="I114" s="240"/>
      <c r="J114" s="276">
        <f>SUM(J109:J113)</f>
        <v>450954</v>
      </c>
      <c r="K114" s="240"/>
      <c r="L114" s="276">
        <f t="shared" ref="L114:V114" si="20">SUM(L109:L113)</f>
        <v>0</v>
      </c>
      <c r="M114" s="240"/>
      <c r="N114" s="276">
        <f t="shared" si="20"/>
        <v>0</v>
      </c>
      <c r="O114" s="240"/>
      <c r="P114" s="276">
        <f t="shared" si="20"/>
        <v>0</v>
      </c>
      <c r="Q114" s="240"/>
      <c r="R114" s="276">
        <f t="shared" si="20"/>
        <v>25000</v>
      </c>
      <c r="S114" s="240"/>
      <c r="T114" s="276">
        <f t="shared" si="20"/>
        <v>0</v>
      </c>
      <c r="U114" s="240"/>
      <c r="V114" s="276">
        <f t="shared" si="20"/>
        <v>0</v>
      </c>
      <c r="W114" s="240"/>
      <c r="X114" s="276">
        <f>SUM(X109:X113)</f>
        <v>45418.332499999997</v>
      </c>
      <c r="Y114" s="240"/>
      <c r="Z114" s="276">
        <f>SUM(Z109:Z113)</f>
        <v>96634.75</v>
      </c>
      <c r="AA114" s="240"/>
      <c r="AB114" s="276">
        <f>SUM(AB108:AB113)</f>
        <v>31889.467500000002</v>
      </c>
      <c r="AC114" s="240"/>
      <c r="AD114" s="276">
        <f>SUM(AD108:AD113)</f>
        <v>252011.45</v>
      </c>
      <c r="AE114" s="5"/>
    </row>
    <row r="115" spans="2:43" ht="13.5" customHeight="1" x14ac:dyDescent="0.2">
      <c r="B115" s="4"/>
      <c r="C115" s="4"/>
      <c r="D115" s="4"/>
      <c r="E115" s="4"/>
      <c r="F115" s="240"/>
      <c r="G115" s="240"/>
      <c r="H115" s="240"/>
      <c r="I115" s="240"/>
      <c r="J115" s="240"/>
      <c r="K115" s="277"/>
      <c r="L115" s="277"/>
      <c r="M115" s="277"/>
      <c r="N115" s="277"/>
      <c r="O115" s="277"/>
      <c r="P115" s="277"/>
      <c r="Q115" s="277"/>
      <c r="R115" s="277"/>
      <c r="S115" s="277"/>
      <c r="T115" s="277"/>
      <c r="U115" s="277"/>
      <c r="V115" s="277"/>
      <c r="W115" s="277"/>
      <c r="X115" s="277"/>
      <c r="Y115" s="240"/>
      <c r="Z115" s="277"/>
      <c r="AA115" s="240"/>
      <c r="AB115" s="240"/>
      <c r="AC115" s="240"/>
      <c r="AD115" s="240"/>
      <c r="AE115" s="4"/>
    </row>
    <row r="116" spans="2:43" ht="13.5" customHeight="1" x14ac:dyDescent="0.2">
      <c r="B116" s="17" t="s">
        <v>182</v>
      </c>
      <c r="C116" s="17"/>
      <c r="D116" s="17"/>
      <c r="E116" s="17"/>
      <c r="F116" s="240"/>
      <c r="G116" s="240"/>
      <c r="H116" s="240"/>
      <c r="I116" s="240"/>
      <c r="J116" s="240"/>
      <c r="K116" s="280"/>
      <c r="L116" s="280"/>
      <c r="M116" s="280"/>
      <c r="N116" s="280"/>
      <c r="O116" s="280"/>
      <c r="P116" s="280"/>
      <c r="Q116" s="280"/>
      <c r="R116" s="280"/>
      <c r="S116" s="280"/>
      <c r="T116" s="280"/>
      <c r="U116" s="280"/>
      <c r="V116" s="280"/>
      <c r="W116" s="280"/>
      <c r="X116" s="280"/>
      <c r="Y116" s="280"/>
      <c r="Z116" s="280"/>
      <c r="AA116" s="280"/>
      <c r="AB116" s="240"/>
      <c r="AC116" s="280"/>
      <c r="AD116" s="240"/>
      <c r="AE116" s="17"/>
    </row>
    <row r="117" spans="2:43" s="20" customFormat="1" ht="13.5" customHeight="1" x14ac:dyDescent="0.2">
      <c r="B117" s="6"/>
      <c r="C117" s="6"/>
      <c r="D117" s="6"/>
      <c r="E117" s="6"/>
      <c r="F117" s="239"/>
      <c r="G117" s="239"/>
      <c r="H117" s="239"/>
      <c r="I117" s="240"/>
      <c r="J117" s="240">
        <f>+F117-H117</f>
        <v>0</v>
      </c>
      <c r="K117" s="240"/>
      <c r="L117" s="240"/>
      <c r="M117" s="240"/>
      <c r="N117" s="240"/>
      <c r="O117" s="240"/>
      <c r="P117" s="240"/>
      <c r="Q117" s="240"/>
      <c r="R117" s="240"/>
      <c r="S117" s="240"/>
      <c r="T117" s="240"/>
      <c r="U117" s="240"/>
      <c r="V117" s="240"/>
      <c r="W117" s="240"/>
      <c r="X117" s="240"/>
      <c r="Y117" s="240"/>
      <c r="Z117" s="240"/>
      <c r="AA117" s="240"/>
      <c r="AB117" s="287"/>
      <c r="AC117" s="240"/>
      <c r="AD117" s="240">
        <f t="shared" ref="AD117:AD120" si="21">J117-SUM(L117:AB117)</f>
        <v>0</v>
      </c>
      <c r="AE117" s="5"/>
      <c r="AG117" s="5"/>
      <c r="AH117" s="5"/>
      <c r="AI117" s="5"/>
    </row>
    <row r="118" spans="2:43" ht="13.5" customHeight="1" x14ac:dyDescent="0.2">
      <c r="F118" s="239"/>
      <c r="G118" s="239"/>
      <c r="H118" s="239"/>
      <c r="I118" s="240"/>
      <c r="J118" s="240">
        <f>+F118-H118</f>
        <v>0</v>
      </c>
      <c r="K118" s="240"/>
      <c r="L118" s="240"/>
      <c r="M118" s="240"/>
      <c r="N118" s="240"/>
      <c r="O118" s="240"/>
      <c r="P118" s="240"/>
      <c r="Q118" s="240"/>
      <c r="R118" s="240"/>
      <c r="S118" s="240"/>
      <c r="T118" s="240"/>
      <c r="U118" s="240"/>
      <c r="V118" s="240"/>
      <c r="W118" s="240"/>
      <c r="X118" s="240"/>
      <c r="Y118" s="240"/>
      <c r="Z118" s="240"/>
      <c r="AA118" s="240"/>
      <c r="AB118" s="239"/>
      <c r="AC118" s="240"/>
      <c r="AD118" s="240">
        <f t="shared" si="21"/>
        <v>0</v>
      </c>
      <c r="AE118" s="5"/>
      <c r="AF118" s="6"/>
      <c r="AJ118" s="6"/>
      <c r="AK118" s="6"/>
      <c r="AL118" s="6"/>
      <c r="AM118" s="6"/>
      <c r="AN118" s="6"/>
      <c r="AO118" s="6"/>
      <c r="AP118" s="6"/>
      <c r="AQ118" s="6"/>
    </row>
    <row r="119" spans="2:43" ht="13.5" customHeight="1" x14ac:dyDescent="0.2">
      <c r="F119" s="239"/>
      <c r="G119" s="239"/>
      <c r="H119" s="239"/>
      <c r="I119" s="240"/>
      <c r="J119" s="240">
        <f>+F119-H119</f>
        <v>0</v>
      </c>
      <c r="K119" s="240"/>
      <c r="L119" s="240"/>
      <c r="M119" s="240"/>
      <c r="N119" s="240"/>
      <c r="O119" s="240"/>
      <c r="P119" s="240"/>
      <c r="Q119" s="240"/>
      <c r="R119" s="240"/>
      <c r="S119" s="240"/>
      <c r="T119" s="240"/>
      <c r="U119" s="240"/>
      <c r="V119" s="240"/>
      <c r="W119" s="240"/>
      <c r="X119" s="240"/>
      <c r="Y119" s="240"/>
      <c r="Z119" s="240"/>
      <c r="AA119" s="240"/>
      <c r="AB119" s="239"/>
      <c r="AC119" s="240"/>
      <c r="AD119" s="240">
        <f t="shared" si="21"/>
        <v>0</v>
      </c>
      <c r="AE119" s="5"/>
      <c r="AF119" s="6"/>
      <c r="AJ119" s="6"/>
      <c r="AK119" s="6"/>
      <c r="AL119" s="6"/>
      <c r="AM119" s="6"/>
      <c r="AN119" s="6"/>
      <c r="AO119" s="6"/>
      <c r="AP119" s="6"/>
      <c r="AQ119" s="6"/>
    </row>
    <row r="120" spans="2:43" ht="13.5" customHeight="1" x14ac:dyDescent="0.2">
      <c r="F120" s="239"/>
      <c r="G120" s="239"/>
      <c r="H120" s="239"/>
      <c r="I120" s="240"/>
      <c r="J120" s="240">
        <f>+F120-H120</f>
        <v>0</v>
      </c>
      <c r="K120" s="240"/>
      <c r="L120" s="240"/>
      <c r="M120" s="240"/>
      <c r="N120" s="240"/>
      <c r="O120" s="240"/>
      <c r="P120" s="240"/>
      <c r="Q120" s="240"/>
      <c r="R120" s="240"/>
      <c r="S120" s="240"/>
      <c r="T120" s="240"/>
      <c r="U120" s="240"/>
      <c r="V120" s="240"/>
      <c r="W120" s="240"/>
      <c r="X120" s="240"/>
      <c r="Y120" s="240"/>
      <c r="Z120" s="240"/>
      <c r="AA120" s="240"/>
      <c r="AB120" s="239"/>
      <c r="AC120" s="240"/>
      <c r="AD120" s="240">
        <f t="shared" si="21"/>
        <v>0</v>
      </c>
      <c r="AE120" s="5"/>
      <c r="AF120" s="6"/>
      <c r="AJ120" s="6"/>
      <c r="AK120" s="6"/>
      <c r="AL120" s="6"/>
      <c r="AM120" s="6"/>
      <c r="AN120" s="6"/>
      <c r="AO120" s="6"/>
      <c r="AP120" s="6"/>
      <c r="AQ120" s="6"/>
    </row>
    <row r="121" spans="2:43" ht="13.5" customHeight="1" x14ac:dyDescent="0.2">
      <c r="B121" s="4"/>
      <c r="C121" s="4"/>
      <c r="D121" s="4"/>
      <c r="E121" s="4"/>
      <c r="F121" s="239"/>
      <c r="G121" s="239"/>
      <c r="H121" s="239"/>
      <c r="I121" s="240"/>
      <c r="J121" s="239"/>
      <c r="K121" s="240"/>
      <c r="L121" s="277"/>
      <c r="M121" s="240"/>
      <c r="N121" s="277"/>
      <c r="O121" s="240"/>
      <c r="P121" s="277"/>
      <c r="Q121" s="240"/>
      <c r="R121" s="277"/>
      <c r="S121" s="240"/>
      <c r="T121" s="277"/>
      <c r="U121" s="240"/>
      <c r="V121" s="277"/>
      <c r="W121" s="277"/>
      <c r="X121" s="277"/>
      <c r="Y121" s="240"/>
      <c r="Z121" s="277"/>
      <c r="AA121" s="240"/>
      <c r="AB121" s="239"/>
      <c r="AC121" s="240"/>
      <c r="AD121" s="239"/>
      <c r="AE121" s="4"/>
      <c r="AF121" s="6"/>
      <c r="AJ121" s="6"/>
      <c r="AK121" s="6"/>
      <c r="AL121" s="6"/>
      <c r="AM121" s="6"/>
      <c r="AN121" s="6"/>
      <c r="AO121" s="6"/>
      <c r="AP121" s="6"/>
      <c r="AQ121" s="6"/>
    </row>
    <row r="122" spans="2:43" ht="13.5" customHeight="1" x14ac:dyDescent="0.2">
      <c r="E122" s="91" t="s">
        <v>345</v>
      </c>
      <c r="F122" s="276">
        <f>SUM(F117:F121)</f>
        <v>0</v>
      </c>
      <c r="G122" s="240"/>
      <c r="H122" s="276">
        <f>SUM(H117:H121)</f>
        <v>0</v>
      </c>
      <c r="I122" s="240"/>
      <c r="J122" s="276">
        <f>SUM(J117:J121)</f>
        <v>0</v>
      </c>
      <c r="K122" s="240"/>
      <c r="L122" s="276">
        <f>SUM(L117:L121)</f>
        <v>0</v>
      </c>
      <c r="M122" s="240"/>
      <c r="N122" s="276">
        <f>SUM(N117:N121)</f>
        <v>0</v>
      </c>
      <c r="O122" s="240"/>
      <c r="P122" s="276">
        <f>SUM(P117:P121)</f>
        <v>0</v>
      </c>
      <c r="Q122" s="240"/>
      <c r="R122" s="276">
        <f>SUM(R117:R121)</f>
        <v>0</v>
      </c>
      <c r="S122" s="240"/>
      <c r="T122" s="276">
        <f>SUM(T117:T121)</f>
        <v>0</v>
      </c>
      <c r="U122" s="240"/>
      <c r="V122" s="276">
        <f>SUM(V117:V121)</f>
        <v>0</v>
      </c>
      <c r="W122" s="240"/>
      <c r="X122" s="276">
        <f>SUM(X117:X121)</f>
        <v>0</v>
      </c>
      <c r="Y122" s="240"/>
      <c r="Z122" s="276">
        <f>SUM(Z117:Z121)</f>
        <v>0</v>
      </c>
      <c r="AA122" s="240"/>
      <c r="AB122" s="276">
        <f>SUM(AB116:AB121)</f>
        <v>0</v>
      </c>
      <c r="AC122" s="240"/>
      <c r="AD122" s="276">
        <f>SUM(AD116:AD121)</f>
        <v>0</v>
      </c>
      <c r="AE122" s="5"/>
      <c r="AF122" s="6"/>
      <c r="AJ122" s="6"/>
      <c r="AK122" s="6"/>
      <c r="AL122" s="6"/>
      <c r="AM122" s="6"/>
      <c r="AN122" s="6"/>
      <c r="AO122" s="6"/>
      <c r="AP122" s="6"/>
      <c r="AQ122" s="6"/>
    </row>
    <row r="123" spans="2:43" ht="13.5" customHeight="1" x14ac:dyDescent="0.2">
      <c r="B123" s="4"/>
      <c r="C123" s="4"/>
      <c r="D123" s="4"/>
      <c r="E123" s="4"/>
      <c r="F123" s="240"/>
      <c r="G123" s="240"/>
      <c r="H123" s="240"/>
      <c r="I123" s="240"/>
      <c r="J123" s="240"/>
      <c r="K123" s="240"/>
      <c r="L123" s="277"/>
      <c r="M123" s="240"/>
      <c r="N123" s="277"/>
      <c r="O123" s="240"/>
      <c r="P123" s="277"/>
      <c r="Q123" s="240"/>
      <c r="R123" s="277"/>
      <c r="S123" s="240"/>
      <c r="T123" s="277"/>
      <c r="U123" s="240"/>
      <c r="V123" s="277"/>
      <c r="W123" s="277"/>
      <c r="X123" s="277"/>
      <c r="Y123" s="240"/>
      <c r="Z123" s="277"/>
      <c r="AA123" s="240"/>
      <c r="AB123" s="239"/>
      <c r="AC123" s="240"/>
      <c r="AD123" s="239"/>
      <c r="AE123" s="4"/>
      <c r="AF123" s="6"/>
      <c r="AJ123" s="6"/>
      <c r="AK123" s="6"/>
      <c r="AL123" s="6"/>
      <c r="AM123" s="6"/>
      <c r="AN123" s="6"/>
      <c r="AO123" s="6"/>
      <c r="AP123" s="6"/>
      <c r="AQ123" s="6"/>
    </row>
    <row r="124" spans="2:43" ht="13.5" customHeight="1" x14ac:dyDescent="0.2">
      <c r="B124" s="17" t="s">
        <v>45</v>
      </c>
      <c r="C124" s="17"/>
      <c r="D124" s="17"/>
      <c r="E124" s="17"/>
      <c r="F124" s="240"/>
      <c r="G124" s="240"/>
      <c r="H124" s="240"/>
      <c r="I124" s="240"/>
      <c r="J124" s="240"/>
      <c r="K124" s="280"/>
      <c r="L124" s="280"/>
      <c r="M124" s="280"/>
      <c r="N124" s="280"/>
      <c r="O124" s="280"/>
      <c r="P124" s="280"/>
      <c r="Q124" s="280"/>
      <c r="R124" s="280"/>
      <c r="S124" s="280"/>
      <c r="T124" s="280"/>
      <c r="U124" s="280"/>
      <c r="V124" s="280"/>
      <c r="W124" s="280"/>
      <c r="X124" s="280"/>
      <c r="Y124" s="280"/>
      <c r="Z124" s="280"/>
      <c r="AA124" s="280"/>
      <c r="AB124" s="239"/>
      <c r="AC124" s="280"/>
      <c r="AD124" s="239"/>
      <c r="AE124" s="17"/>
      <c r="AF124" s="6"/>
      <c r="AJ124" s="6"/>
      <c r="AK124" s="6"/>
      <c r="AL124" s="6"/>
      <c r="AM124" s="6"/>
      <c r="AN124" s="6"/>
      <c r="AO124" s="6"/>
      <c r="AP124" s="6"/>
      <c r="AQ124" s="6"/>
    </row>
    <row r="125" spans="2:43" s="20" customFormat="1" ht="13.5" customHeight="1" x14ac:dyDescent="0.2">
      <c r="B125" s="6"/>
      <c r="C125" s="6"/>
      <c r="D125" s="6"/>
      <c r="E125" s="6"/>
      <c r="F125" s="239"/>
      <c r="G125" s="239"/>
      <c r="H125" s="239"/>
      <c r="I125" s="240"/>
      <c r="J125" s="240">
        <f>+F125-H125</f>
        <v>0</v>
      </c>
      <c r="K125" s="240"/>
      <c r="L125" s="240"/>
      <c r="M125" s="240"/>
      <c r="N125" s="240"/>
      <c r="O125" s="240"/>
      <c r="P125" s="240"/>
      <c r="Q125" s="240"/>
      <c r="R125" s="240"/>
      <c r="S125" s="240"/>
      <c r="T125" s="240"/>
      <c r="U125" s="240"/>
      <c r="V125" s="240"/>
      <c r="W125" s="240"/>
      <c r="X125" s="240"/>
      <c r="Y125" s="240"/>
      <c r="Z125" s="240"/>
      <c r="AA125" s="240"/>
      <c r="AB125" s="239"/>
      <c r="AC125" s="240"/>
      <c r="AD125" s="240">
        <f t="shared" ref="AD125:AD128" si="22">J125-SUM(L125:AB125)</f>
        <v>0</v>
      </c>
      <c r="AE125" s="5"/>
      <c r="AG125" s="5"/>
      <c r="AH125" s="5"/>
      <c r="AI125" s="5"/>
    </row>
    <row r="126" spans="2:43" ht="13.5" customHeight="1" x14ac:dyDescent="0.2">
      <c r="F126" s="239"/>
      <c r="G126" s="239"/>
      <c r="H126" s="239"/>
      <c r="I126" s="240"/>
      <c r="J126" s="240">
        <f>+F126-H126</f>
        <v>0</v>
      </c>
      <c r="K126" s="240"/>
      <c r="L126" s="240"/>
      <c r="M126" s="240"/>
      <c r="N126" s="240"/>
      <c r="O126" s="240"/>
      <c r="P126" s="240"/>
      <c r="Q126" s="240"/>
      <c r="R126" s="240"/>
      <c r="S126" s="240"/>
      <c r="T126" s="240"/>
      <c r="U126" s="240"/>
      <c r="V126" s="240"/>
      <c r="W126" s="240"/>
      <c r="X126" s="240"/>
      <c r="Y126" s="240"/>
      <c r="Z126" s="240"/>
      <c r="AA126" s="240"/>
      <c r="AB126" s="239"/>
      <c r="AC126" s="240"/>
      <c r="AD126" s="240">
        <f t="shared" si="22"/>
        <v>0</v>
      </c>
      <c r="AE126" s="5"/>
      <c r="AF126" s="6"/>
      <c r="AJ126" s="6"/>
      <c r="AK126" s="6"/>
      <c r="AL126" s="6"/>
      <c r="AM126" s="6"/>
      <c r="AN126" s="6"/>
      <c r="AO126" s="6"/>
      <c r="AP126" s="6"/>
      <c r="AQ126" s="6"/>
    </row>
    <row r="127" spans="2:43" ht="13.5" customHeight="1" x14ac:dyDescent="0.2">
      <c r="F127" s="239"/>
      <c r="G127" s="239"/>
      <c r="H127" s="239"/>
      <c r="I127" s="240"/>
      <c r="J127" s="240">
        <f>+F127-H127</f>
        <v>0</v>
      </c>
      <c r="K127" s="240"/>
      <c r="L127" s="240"/>
      <c r="M127" s="240"/>
      <c r="N127" s="240"/>
      <c r="O127" s="240"/>
      <c r="P127" s="240"/>
      <c r="Q127" s="240"/>
      <c r="R127" s="240"/>
      <c r="S127" s="240"/>
      <c r="T127" s="240"/>
      <c r="U127" s="240"/>
      <c r="V127" s="240"/>
      <c r="W127" s="240"/>
      <c r="X127" s="240"/>
      <c r="Y127" s="240"/>
      <c r="Z127" s="240"/>
      <c r="AA127" s="240"/>
      <c r="AB127" s="239"/>
      <c r="AC127" s="240"/>
      <c r="AD127" s="240">
        <f t="shared" si="22"/>
        <v>0</v>
      </c>
      <c r="AE127" s="5"/>
      <c r="AF127" s="6"/>
      <c r="AJ127" s="6"/>
      <c r="AK127" s="6"/>
      <c r="AL127" s="6"/>
      <c r="AM127" s="6"/>
      <c r="AN127" s="6"/>
      <c r="AO127" s="6"/>
      <c r="AP127" s="6"/>
      <c r="AQ127" s="6"/>
    </row>
    <row r="128" spans="2:43" ht="13.5" customHeight="1" x14ac:dyDescent="0.2">
      <c r="F128" s="239"/>
      <c r="G128" s="239"/>
      <c r="H128" s="239"/>
      <c r="I128" s="240"/>
      <c r="J128" s="240">
        <f>+F128-H128</f>
        <v>0</v>
      </c>
      <c r="K128" s="240"/>
      <c r="L128" s="240"/>
      <c r="M128" s="240"/>
      <c r="N128" s="240"/>
      <c r="O128" s="240"/>
      <c r="P128" s="240"/>
      <c r="Q128" s="240"/>
      <c r="R128" s="240"/>
      <c r="S128" s="240"/>
      <c r="T128" s="240"/>
      <c r="U128" s="240"/>
      <c r="V128" s="240"/>
      <c r="W128" s="240"/>
      <c r="X128" s="240"/>
      <c r="Y128" s="240"/>
      <c r="Z128" s="240"/>
      <c r="AA128" s="240"/>
      <c r="AB128" s="239"/>
      <c r="AC128" s="240"/>
      <c r="AD128" s="240">
        <f t="shared" si="22"/>
        <v>0</v>
      </c>
      <c r="AE128" s="5"/>
      <c r="AF128" s="6"/>
      <c r="AJ128" s="6"/>
      <c r="AK128" s="6"/>
      <c r="AL128" s="6"/>
      <c r="AM128" s="6"/>
      <c r="AN128" s="6"/>
      <c r="AO128" s="6"/>
      <c r="AP128" s="6"/>
      <c r="AQ128" s="6"/>
    </row>
    <row r="129" spans="1:43" ht="13.5" customHeight="1" x14ac:dyDescent="0.2">
      <c r="B129" s="4"/>
      <c r="C129" s="4"/>
      <c r="D129" s="4"/>
      <c r="E129" s="4"/>
      <c r="F129" s="239"/>
      <c r="G129" s="239"/>
      <c r="H129" s="239"/>
      <c r="I129" s="240"/>
      <c r="J129" s="239"/>
      <c r="K129" s="240"/>
      <c r="L129" s="277"/>
      <c r="M129" s="240"/>
      <c r="N129" s="277"/>
      <c r="O129" s="240"/>
      <c r="P129" s="277"/>
      <c r="Q129" s="240"/>
      <c r="R129" s="277"/>
      <c r="S129" s="240"/>
      <c r="T129" s="277"/>
      <c r="U129" s="240"/>
      <c r="V129" s="277"/>
      <c r="W129" s="277"/>
      <c r="X129" s="277"/>
      <c r="Y129" s="240"/>
      <c r="Z129" s="277"/>
      <c r="AA129" s="240"/>
      <c r="AB129" s="239"/>
      <c r="AC129" s="240"/>
      <c r="AD129" s="239"/>
      <c r="AE129" s="4"/>
      <c r="AF129" s="6"/>
      <c r="AJ129" s="6"/>
      <c r="AK129" s="6"/>
      <c r="AL129" s="6"/>
      <c r="AM129" s="6"/>
      <c r="AN129" s="6"/>
      <c r="AO129" s="6"/>
      <c r="AP129" s="6"/>
      <c r="AQ129" s="6"/>
    </row>
    <row r="130" spans="1:43" ht="13.5" customHeight="1" x14ac:dyDescent="0.2">
      <c r="E130" s="91" t="s">
        <v>346</v>
      </c>
      <c r="F130" s="276">
        <f>SUM(F125:F129)</f>
        <v>0</v>
      </c>
      <c r="G130" s="240"/>
      <c r="H130" s="276">
        <f>SUM(H125:H129)</f>
        <v>0</v>
      </c>
      <c r="I130" s="240"/>
      <c r="J130" s="276">
        <f>SUM(J125:J129)</f>
        <v>0</v>
      </c>
      <c r="K130" s="240"/>
      <c r="L130" s="276">
        <f>SUM(L125:L129)</f>
        <v>0</v>
      </c>
      <c r="M130" s="240"/>
      <c r="N130" s="276">
        <f>SUM(N125:N129)</f>
        <v>0</v>
      </c>
      <c r="O130" s="240"/>
      <c r="P130" s="276">
        <f>SUM(P125:P129)</f>
        <v>0</v>
      </c>
      <c r="Q130" s="240"/>
      <c r="R130" s="276">
        <f>SUM(R125:R129)</f>
        <v>0</v>
      </c>
      <c r="S130" s="240"/>
      <c r="T130" s="276">
        <f>SUM(T125:T129)</f>
        <v>0</v>
      </c>
      <c r="U130" s="240"/>
      <c r="V130" s="276">
        <f>SUM(V125:V129)</f>
        <v>0</v>
      </c>
      <c r="W130" s="240"/>
      <c r="X130" s="276">
        <f>SUM(X125:X129)</f>
        <v>0</v>
      </c>
      <c r="Y130" s="240"/>
      <c r="Z130" s="276">
        <f>SUM(Z125:Z129)</f>
        <v>0</v>
      </c>
      <c r="AA130" s="240"/>
      <c r="AB130" s="276">
        <f>SUM(AB124:AB129)</f>
        <v>0</v>
      </c>
      <c r="AC130" s="240"/>
      <c r="AD130" s="276">
        <f>SUM(AD124:AD129)</f>
        <v>0</v>
      </c>
      <c r="AE130" s="5"/>
      <c r="AF130" s="6"/>
      <c r="AJ130" s="6"/>
      <c r="AK130" s="6"/>
      <c r="AL130" s="6"/>
      <c r="AM130" s="6"/>
      <c r="AN130" s="6"/>
      <c r="AO130" s="6"/>
      <c r="AP130" s="6"/>
      <c r="AQ130" s="6"/>
    </row>
    <row r="131" spans="1:43" ht="13.5" customHeight="1" x14ac:dyDescent="0.2">
      <c r="B131" s="4"/>
      <c r="C131" s="4"/>
      <c r="D131" s="4"/>
      <c r="E131" s="4"/>
      <c r="F131" s="240"/>
      <c r="G131" s="240"/>
      <c r="H131" s="240"/>
      <c r="I131" s="240"/>
      <c r="J131" s="240"/>
      <c r="K131" s="240"/>
      <c r="L131" s="277"/>
      <c r="M131" s="240"/>
      <c r="N131" s="277"/>
      <c r="O131" s="240"/>
      <c r="P131" s="277"/>
      <c r="Q131" s="240"/>
      <c r="R131" s="277"/>
      <c r="S131" s="240"/>
      <c r="T131" s="277"/>
      <c r="U131" s="240"/>
      <c r="V131" s="277"/>
      <c r="W131" s="277"/>
      <c r="X131" s="277"/>
      <c r="Y131" s="240"/>
      <c r="Z131" s="277"/>
      <c r="AA131" s="240"/>
      <c r="AB131" s="239"/>
      <c r="AC131" s="240"/>
      <c r="AD131" s="239"/>
      <c r="AE131" s="4"/>
      <c r="AF131" s="6"/>
      <c r="AJ131" s="6"/>
      <c r="AK131" s="6"/>
      <c r="AL131" s="6"/>
      <c r="AM131" s="6"/>
      <c r="AN131" s="6"/>
      <c r="AO131" s="6"/>
      <c r="AP131" s="6"/>
      <c r="AQ131" s="6"/>
    </row>
    <row r="132" spans="1:43" ht="13.5" customHeight="1" x14ac:dyDescent="0.2">
      <c r="B132" s="17" t="s">
        <v>151</v>
      </c>
      <c r="C132" s="17"/>
      <c r="D132" s="17"/>
      <c r="E132" s="17"/>
      <c r="F132" s="239"/>
      <c r="G132" s="239"/>
      <c r="H132" s="239"/>
      <c r="I132" s="240"/>
      <c r="J132" s="239"/>
      <c r="K132" s="280"/>
      <c r="L132" s="280"/>
      <c r="M132" s="280"/>
      <c r="N132" s="280"/>
      <c r="O132" s="280"/>
      <c r="P132" s="280"/>
      <c r="Q132" s="280"/>
      <c r="R132" s="280"/>
      <c r="S132" s="280"/>
      <c r="T132" s="280"/>
      <c r="U132" s="280"/>
      <c r="V132" s="280"/>
      <c r="W132" s="280"/>
      <c r="X132" s="280"/>
      <c r="Y132" s="280"/>
      <c r="Z132" s="280"/>
      <c r="AA132" s="280"/>
      <c r="AB132" s="240"/>
      <c r="AC132" s="280"/>
      <c r="AD132" s="240"/>
      <c r="AE132" s="17"/>
    </row>
    <row r="133" spans="1:43" s="20" customFormat="1" ht="13.5" customHeight="1" x14ac:dyDescent="0.2">
      <c r="B133" s="6"/>
      <c r="C133" s="6"/>
      <c r="D133" s="6"/>
      <c r="E133" s="6"/>
      <c r="F133" s="240"/>
      <c r="G133" s="240"/>
      <c r="H133" s="240"/>
      <c r="I133" s="240"/>
      <c r="J133" s="240">
        <f>+F133-H133</f>
        <v>0</v>
      </c>
      <c r="K133" s="240"/>
      <c r="L133" s="240"/>
      <c r="M133" s="240"/>
      <c r="N133" s="240"/>
      <c r="O133" s="240"/>
      <c r="P133" s="240"/>
      <c r="Q133" s="240"/>
      <c r="R133" s="240"/>
      <c r="S133" s="240"/>
      <c r="T133" s="240"/>
      <c r="U133" s="240"/>
      <c r="V133" s="240"/>
      <c r="W133" s="240"/>
      <c r="X133" s="240"/>
      <c r="Y133" s="240"/>
      <c r="Z133" s="240"/>
      <c r="AA133" s="240"/>
      <c r="AB133" s="240"/>
      <c r="AC133" s="240"/>
      <c r="AD133" s="240">
        <f t="shared" ref="AD133:AD136" si="23">J133-SUM(L133:AB133)</f>
        <v>0</v>
      </c>
      <c r="AE133" s="5"/>
      <c r="AG133" s="5"/>
      <c r="AH133" s="5"/>
      <c r="AI133" s="5"/>
    </row>
    <row r="134" spans="1:43" ht="13.5" customHeight="1" x14ac:dyDescent="0.2">
      <c r="F134" s="240"/>
      <c r="G134" s="240"/>
      <c r="H134" s="240"/>
      <c r="I134" s="240"/>
      <c r="J134" s="240">
        <f>+F134-H134</f>
        <v>0</v>
      </c>
      <c r="K134" s="240"/>
      <c r="L134" s="240"/>
      <c r="M134" s="240"/>
      <c r="N134" s="240"/>
      <c r="O134" s="240"/>
      <c r="P134" s="240"/>
      <c r="Q134" s="240"/>
      <c r="R134" s="240"/>
      <c r="S134" s="240"/>
      <c r="T134" s="240"/>
      <c r="U134" s="240"/>
      <c r="V134" s="240"/>
      <c r="W134" s="240"/>
      <c r="X134" s="240"/>
      <c r="Y134" s="240"/>
      <c r="Z134" s="240"/>
      <c r="AA134" s="240"/>
      <c r="AB134" s="239"/>
      <c r="AC134" s="240"/>
      <c r="AD134" s="240">
        <f t="shared" si="23"/>
        <v>0</v>
      </c>
      <c r="AE134" s="5"/>
      <c r="AF134" s="6"/>
      <c r="AJ134" s="6"/>
      <c r="AK134" s="6"/>
      <c r="AL134" s="6"/>
      <c r="AM134" s="6"/>
      <c r="AN134" s="6"/>
      <c r="AO134" s="6"/>
      <c r="AP134" s="6"/>
      <c r="AQ134" s="6"/>
    </row>
    <row r="135" spans="1:43" ht="13.5" customHeight="1" x14ac:dyDescent="0.2">
      <c r="F135" s="240"/>
      <c r="G135" s="240"/>
      <c r="H135" s="240"/>
      <c r="I135" s="240"/>
      <c r="J135" s="240">
        <f>+F135-H135</f>
        <v>0</v>
      </c>
      <c r="K135" s="240"/>
      <c r="L135" s="240"/>
      <c r="M135" s="240"/>
      <c r="N135" s="240"/>
      <c r="O135" s="240"/>
      <c r="P135" s="240"/>
      <c r="Q135" s="240"/>
      <c r="R135" s="240"/>
      <c r="S135" s="240"/>
      <c r="T135" s="240"/>
      <c r="U135" s="240"/>
      <c r="V135" s="240"/>
      <c r="W135" s="240"/>
      <c r="X135" s="240"/>
      <c r="Y135" s="240"/>
      <c r="Z135" s="240"/>
      <c r="AA135" s="240"/>
      <c r="AB135" s="239"/>
      <c r="AC135" s="240"/>
      <c r="AD135" s="240">
        <f t="shared" si="23"/>
        <v>0</v>
      </c>
      <c r="AE135" s="5"/>
      <c r="AF135" s="6"/>
      <c r="AJ135" s="6"/>
      <c r="AK135" s="6"/>
      <c r="AL135" s="6"/>
      <c r="AM135" s="6"/>
      <c r="AN135" s="6"/>
      <c r="AO135" s="6"/>
      <c r="AP135" s="6"/>
      <c r="AQ135" s="6"/>
    </row>
    <row r="136" spans="1:43" ht="13.5" customHeight="1" x14ac:dyDescent="0.2">
      <c r="F136" s="240"/>
      <c r="G136" s="240"/>
      <c r="H136" s="240"/>
      <c r="I136" s="240"/>
      <c r="J136" s="240">
        <f>+F136-H136</f>
        <v>0</v>
      </c>
      <c r="K136" s="240"/>
      <c r="L136" s="240"/>
      <c r="M136" s="240"/>
      <c r="N136" s="240"/>
      <c r="O136" s="240"/>
      <c r="P136" s="240"/>
      <c r="Q136" s="240"/>
      <c r="R136" s="240"/>
      <c r="S136" s="240"/>
      <c r="T136" s="240"/>
      <c r="U136" s="240"/>
      <c r="V136" s="240"/>
      <c r="W136" s="240"/>
      <c r="X136" s="240"/>
      <c r="Y136" s="240"/>
      <c r="Z136" s="240"/>
      <c r="AA136" s="240"/>
      <c r="AB136" s="239"/>
      <c r="AC136" s="240"/>
      <c r="AD136" s="240">
        <f t="shared" si="23"/>
        <v>0</v>
      </c>
      <c r="AE136" s="5"/>
      <c r="AF136" s="6"/>
      <c r="AJ136" s="6"/>
      <c r="AK136" s="6"/>
      <c r="AL136" s="6"/>
      <c r="AM136" s="6"/>
      <c r="AN136" s="6"/>
      <c r="AO136" s="6"/>
      <c r="AP136" s="6"/>
      <c r="AQ136" s="6"/>
    </row>
    <row r="137" spans="1:43" ht="13.5" customHeight="1" x14ac:dyDescent="0.2">
      <c r="B137" s="4"/>
      <c r="C137" s="4"/>
      <c r="D137" s="4"/>
      <c r="E137" s="4"/>
      <c r="F137" s="240"/>
      <c r="G137" s="240"/>
      <c r="H137" s="240"/>
      <c r="I137" s="240"/>
      <c r="J137" s="240"/>
      <c r="K137" s="240"/>
      <c r="L137" s="277"/>
      <c r="M137" s="240"/>
      <c r="N137" s="277"/>
      <c r="O137" s="240"/>
      <c r="P137" s="277"/>
      <c r="Q137" s="240"/>
      <c r="R137" s="277"/>
      <c r="S137" s="240"/>
      <c r="T137" s="277"/>
      <c r="U137" s="240"/>
      <c r="V137" s="277"/>
      <c r="W137" s="277"/>
      <c r="X137" s="277"/>
      <c r="Y137" s="240"/>
      <c r="Z137" s="277"/>
      <c r="AA137" s="240"/>
      <c r="AB137" s="239"/>
      <c r="AC137" s="240"/>
      <c r="AD137" s="239"/>
      <c r="AE137" s="4"/>
      <c r="AF137" s="6"/>
      <c r="AJ137" s="6"/>
      <c r="AK137" s="6"/>
      <c r="AL137" s="6"/>
      <c r="AM137" s="6"/>
      <c r="AN137" s="6"/>
      <c r="AO137" s="6"/>
      <c r="AP137" s="6"/>
      <c r="AQ137" s="6"/>
    </row>
    <row r="138" spans="1:43" ht="13.5" customHeight="1" x14ac:dyDescent="0.2">
      <c r="E138" s="91" t="s">
        <v>347</v>
      </c>
      <c r="F138" s="276">
        <f>SUM(F133:F137)</f>
        <v>0</v>
      </c>
      <c r="G138" s="240"/>
      <c r="H138" s="276">
        <f>SUM(H133:H137)</f>
        <v>0</v>
      </c>
      <c r="I138" s="240"/>
      <c r="J138" s="276">
        <f>SUM(J133:J137)</f>
        <v>0</v>
      </c>
      <c r="K138" s="240"/>
      <c r="L138" s="276">
        <f>SUM(L133:L137)</f>
        <v>0</v>
      </c>
      <c r="M138" s="240"/>
      <c r="N138" s="276">
        <f>SUM(N133:N137)</f>
        <v>0</v>
      </c>
      <c r="O138" s="240"/>
      <c r="P138" s="276">
        <f>SUM(P133:P137)</f>
        <v>0</v>
      </c>
      <c r="Q138" s="240"/>
      <c r="R138" s="276">
        <f>SUM(R133:R137)</f>
        <v>0</v>
      </c>
      <c r="S138" s="240"/>
      <c r="T138" s="276">
        <f>SUM(T133:T137)</f>
        <v>0</v>
      </c>
      <c r="U138" s="240"/>
      <c r="V138" s="276">
        <f>SUM(V133:V137)</f>
        <v>0</v>
      </c>
      <c r="W138" s="240"/>
      <c r="X138" s="276">
        <f>SUM(X133:X137)</f>
        <v>0</v>
      </c>
      <c r="Y138" s="240"/>
      <c r="Z138" s="276">
        <f>SUM(Z133:Z137)</f>
        <v>0</v>
      </c>
      <c r="AA138" s="240"/>
      <c r="AB138" s="276">
        <f>SUM(AB132:AB137)</f>
        <v>0</v>
      </c>
      <c r="AC138" s="240"/>
      <c r="AD138" s="276">
        <f>SUM(AD132:AD137)</f>
        <v>0</v>
      </c>
      <c r="AE138" s="5"/>
      <c r="AF138" s="6"/>
      <c r="AJ138" s="6"/>
      <c r="AK138" s="6"/>
      <c r="AL138" s="6"/>
      <c r="AM138" s="6"/>
      <c r="AN138" s="6"/>
      <c r="AO138" s="6"/>
      <c r="AP138" s="6"/>
      <c r="AQ138" s="6"/>
    </row>
    <row r="139" spans="1:43" ht="13.5" customHeight="1" x14ac:dyDescent="0.2">
      <c r="B139" s="4"/>
      <c r="C139" s="4"/>
      <c r="D139" s="4"/>
      <c r="E139" s="4"/>
      <c r="F139" s="240"/>
      <c r="G139" s="240"/>
      <c r="H139" s="240"/>
      <c r="I139" s="240"/>
      <c r="J139" s="240"/>
      <c r="K139" s="240"/>
      <c r="L139" s="277"/>
      <c r="M139" s="240"/>
      <c r="N139" s="277"/>
      <c r="O139" s="240"/>
      <c r="P139" s="277"/>
      <c r="Q139" s="240"/>
      <c r="R139" s="277"/>
      <c r="S139" s="240"/>
      <c r="T139" s="277"/>
      <c r="U139" s="240"/>
      <c r="V139" s="277"/>
      <c r="W139" s="277"/>
      <c r="X139" s="277"/>
      <c r="Y139" s="240"/>
      <c r="Z139" s="277"/>
      <c r="AA139" s="240"/>
      <c r="AB139" s="240"/>
      <c r="AC139" s="240"/>
      <c r="AD139" s="240"/>
      <c r="AE139" s="4"/>
      <c r="AF139" s="6"/>
      <c r="AJ139" s="6"/>
      <c r="AK139" s="6"/>
      <c r="AL139" s="6"/>
      <c r="AM139" s="6"/>
      <c r="AN139" s="6"/>
      <c r="AO139" s="6"/>
      <c r="AP139" s="6"/>
      <c r="AQ139" s="6"/>
    </row>
    <row r="140" spans="1:43" ht="13.5" customHeight="1" x14ac:dyDescent="0.2">
      <c r="B140" s="17" t="s">
        <v>49</v>
      </c>
      <c r="C140" s="17"/>
      <c r="D140" s="17"/>
      <c r="E140" s="17"/>
      <c r="F140" s="240"/>
      <c r="G140" s="240"/>
      <c r="H140" s="240"/>
      <c r="I140" s="240"/>
      <c r="J140" s="240"/>
      <c r="K140" s="280"/>
      <c r="L140" s="280"/>
      <c r="M140" s="280"/>
      <c r="N140" s="280"/>
      <c r="O140" s="280"/>
      <c r="P140" s="280"/>
      <c r="Q140" s="280"/>
      <c r="R140" s="280"/>
      <c r="S140" s="280"/>
      <c r="T140" s="280"/>
      <c r="U140" s="280"/>
      <c r="V140" s="280"/>
      <c r="W140" s="280"/>
      <c r="X140" s="280"/>
      <c r="Y140" s="280"/>
      <c r="Z140" s="280"/>
      <c r="AA140" s="280"/>
      <c r="AB140" s="240"/>
      <c r="AC140" s="280"/>
      <c r="AD140" s="240"/>
      <c r="AE140" s="17"/>
      <c r="AF140" s="6"/>
      <c r="AJ140" s="6"/>
      <c r="AK140" s="6"/>
      <c r="AL140" s="6"/>
      <c r="AM140" s="6"/>
      <c r="AN140" s="6"/>
      <c r="AO140" s="6"/>
      <c r="AP140" s="6"/>
      <c r="AQ140" s="6"/>
    </row>
    <row r="141" spans="1:43" s="20" customFormat="1" ht="13.5" customHeight="1" x14ac:dyDescent="0.2">
      <c r="A141" s="399">
        <v>720</v>
      </c>
      <c r="B141" s="400"/>
      <c r="C141" s="400"/>
      <c r="D141" s="400" t="s">
        <v>515</v>
      </c>
      <c r="F141" s="239">
        <v>145608</v>
      </c>
      <c r="G141" s="239"/>
      <c r="H141" s="239"/>
      <c r="I141" s="240"/>
      <c r="J141" s="240">
        <f>+F141-H141</f>
        <v>145608</v>
      </c>
      <c r="K141" s="240"/>
      <c r="L141" s="240"/>
      <c r="M141" s="240"/>
      <c r="N141" s="240"/>
      <c r="O141" s="240"/>
      <c r="P141" s="240"/>
      <c r="Q141" s="240"/>
      <c r="R141" s="240"/>
      <c r="S141" s="240"/>
      <c r="T141" s="240"/>
      <c r="U141" s="240"/>
      <c r="V141" s="240"/>
      <c r="W141" s="240"/>
      <c r="X141" s="240">
        <v>17109</v>
      </c>
      <c r="Y141" s="240"/>
      <c r="Z141" s="240">
        <v>36402</v>
      </c>
      <c r="AA141" s="240"/>
      <c r="AB141" s="240">
        <v>12013</v>
      </c>
      <c r="AC141" s="240"/>
      <c r="AD141" s="240">
        <f t="shared" ref="AD141:AD144" si="24">J141-SUM(L141:AB141)</f>
        <v>80084</v>
      </c>
      <c r="AE141" s="5"/>
      <c r="AG141" s="5"/>
      <c r="AH141" s="5"/>
      <c r="AI141" s="5"/>
    </row>
    <row r="142" spans="1:43" ht="13.5" customHeight="1" x14ac:dyDescent="0.2">
      <c r="F142" s="239"/>
      <c r="G142" s="239"/>
      <c r="H142" s="239"/>
      <c r="I142" s="240"/>
      <c r="J142" s="240">
        <f>+F142-H142</f>
        <v>0</v>
      </c>
      <c r="K142" s="240"/>
      <c r="L142" s="240"/>
      <c r="M142" s="240"/>
      <c r="N142" s="240"/>
      <c r="O142" s="240"/>
      <c r="P142" s="240"/>
      <c r="Q142" s="240"/>
      <c r="R142" s="240"/>
      <c r="S142" s="240"/>
      <c r="T142" s="240"/>
      <c r="U142" s="240"/>
      <c r="V142" s="240"/>
      <c r="W142" s="240"/>
      <c r="X142" s="240"/>
      <c r="Y142" s="240"/>
      <c r="Z142" s="240"/>
      <c r="AA142" s="240"/>
      <c r="AB142" s="239"/>
      <c r="AC142" s="240"/>
      <c r="AD142" s="240">
        <f t="shared" si="24"/>
        <v>0</v>
      </c>
      <c r="AE142" s="5"/>
      <c r="AF142" s="6"/>
      <c r="AJ142" s="6"/>
      <c r="AK142" s="6"/>
      <c r="AL142" s="6"/>
      <c r="AM142" s="6"/>
      <c r="AN142" s="6"/>
      <c r="AO142" s="6"/>
      <c r="AP142" s="6"/>
      <c r="AQ142" s="6"/>
    </row>
    <row r="143" spans="1:43" ht="13.5" customHeight="1" x14ac:dyDescent="0.2">
      <c r="F143" s="239"/>
      <c r="G143" s="239"/>
      <c r="H143" s="239"/>
      <c r="I143" s="240"/>
      <c r="J143" s="240">
        <f>+F143-H143</f>
        <v>0</v>
      </c>
      <c r="K143" s="240"/>
      <c r="L143" s="240"/>
      <c r="M143" s="240"/>
      <c r="N143" s="240"/>
      <c r="O143" s="240"/>
      <c r="P143" s="240"/>
      <c r="Q143" s="240"/>
      <c r="R143" s="240"/>
      <c r="S143" s="240"/>
      <c r="T143" s="240"/>
      <c r="U143" s="240"/>
      <c r="V143" s="240"/>
      <c r="W143" s="240"/>
      <c r="X143" s="240"/>
      <c r="Y143" s="240"/>
      <c r="Z143" s="240"/>
      <c r="AA143" s="240"/>
      <c r="AB143" s="239"/>
      <c r="AC143" s="240"/>
      <c r="AD143" s="240">
        <f t="shared" si="24"/>
        <v>0</v>
      </c>
      <c r="AE143" s="5"/>
      <c r="AF143" s="6"/>
      <c r="AJ143" s="6"/>
      <c r="AK143" s="6"/>
      <c r="AL143" s="6"/>
      <c r="AM143" s="6"/>
      <c r="AN143" s="6"/>
      <c r="AO143" s="6"/>
      <c r="AP143" s="6"/>
      <c r="AQ143" s="6"/>
    </row>
    <row r="144" spans="1:43" ht="13.5" customHeight="1" x14ac:dyDescent="0.2">
      <c r="F144" s="239"/>
      <c r="G144" s="239"/>
      <c r="H144" s="239"/>
      <c r="I144" s="240"/>
      <c r="J144" s="240">
        <f>+F144-H144</f>
        <v>0</v>
      </c>
      <c r="K144" s="240"/>
      <c r="L144" s="240"/>
      <c r="M144" s="240"/>
      <c r="N144" s="240"/>
      <c r="O144" s="240"/>
      <c r="P144" s="240"/>
      <c r="Q144" s="240"/>
      <c r="R144" s="240"/>
      <c r="S144" s="240"/>
      <c r="T144" s="240"/>
      <c r="U144" s="240"/>
      <c r="V144" s="240"/>
      <c r="W144" s="240"/>
      <c r="X144" s="240"/>
      <c r="Y144" s="240"/>
      <c r="Z144" s="240"/>
      <c r="AA144" s="240"/>
      <c r="AB144" s="239"/>
      <c r="AC144" s="240"/>
      <c r="AD144" s="240">
        <f t="shared" si="24"/>
        <v>0</v>
      </c>
      <c r="AE144" s="5"/>
      <c r="AF144" s="6"/>
      <c r="AJ144" s="6"/>
      <c r="AK144" s="6"/>
      <c r="AL144" s="6"/>
      <c r="AM144" s="6"/>
      <c r="AN144" s="6"/>
      <c r="AO144" s="6"/>
      <c r="AP144" s="6"/>
      <c r="AQ144" s="6"/>
    </row>
    <row r="145" spans="1:43" ht="13.5" customHeight="1" x14ac:dyDescent="0.2">
      <c r="F145" s="239"/>
      <c r="G145" s="239"/>
      <c r="H145" s="239"/>
      <c r="I145" s="240"/>
      <c r="J145" s="239"/>
      <c r="K145" s="240"/>
      <c r="L145" s="277"/>
      <c r="M145" s="240"/>
      <c r="N145" s="277"/>
      <c r="O145" s="240"/>
      <c r="P145" s="277"/>
      <c r="Q145" s="240"/>
      <c r="R145" s="277"/>
      <c r="S145" s="240"/>
      <c r="T145" s="277"/>
      <c r="U145" s="240"/>
      <c r="V145" s="277"/>
      <c r="W145" s="277"/>
      <c r="X145" s="277"/>
      <c r="Y145" s="240"/>
      <c r="Z145" s="277"/>
      <c r="AA145" s="240"/>
      <c r="AB145" s="239"/>
      <c r="AC145" s="240"/>
      <c r="AD145" s="239"/>
      <c r="AE145" s="4"/>
      <c r="AF145" s="6"/>
      <c r="AJ145" s="6"/>
      <c r="AK145" s="6"/>
      <c r="AL145" s="6"/>
      <c r="AM145" s="6"/>
      <c r="AN145" s="6"/>
      <c r="AO145" s="6"/>
      <c r="AP145" s="6"/>
      <c r="AQ145" s="6"/>
    </row>
    <row r="146" spans="1:43" ht="13.5" customHeight="1" x14ac:dyDescent="0.2">
      <c r="B146" s="4"/>
      <c r="C146" s="4"/>
      <c r="E146" s="91" t="s">
        <v>348</v>
      </c>
      <c r="F146" s="276">
        <f>SUM(F141:F145)</f>
        <v>145608</v>
      </c>
      <c r="G146" s="240"/>
      <c r="H146" s="276">
        <f>SUM(H141:H145)</f>
        <v>0</v>
      </c>
      <c r="I146" s="240"/>
      <c r="J146" s="276">
        <f>SUM(J141:J145)</f>
        <v>145608</v>
      </c>
      <c r="K146" s="240"/>
      <c r="L146" s="276">
        <f>SUM(L141:L145)</f>
        <v>0</v>
      </c>
      <c r="M146" s="240"/>
      <c r="N146" s="276">
        <f>SUM(N141:N145)</f>
        <v>0</v>
      </c>
      <c r="O146" s="240"/>
      <c r="P146" s="276">
        <f>SUM(P141:P145)</f>
        <v>0</v>
      </c>
      <c r="Q146" s="240"/>
      <c r="R146" s="276">
        <f>SUM(R141:R145)</f>
        <v>0</v>
      </c>
      <c r="S146" s="240"/>
      <c r="T146" s="276">
        <f>SUM(T141:T145)</f>
        <v>0</v>
      </c>
      <c r="U146" s="240"/>
      <c r="V146" s="276">
        <f>SUM(V141:V145)</f>
        <v>0</v>
      </c>
      <c r="W146" s="240"/>
      <c r="X146" s="276">
        <f>SUM(X141:X145)</f>
        <v>17109</v>
      </c>
      <c r="Y146" s="240"/>
      <c r="Z146" s="276">
        <f>SUM(Z141:Z145)</f>
        <v>36402</v>
      </c>
      <c r="AA146" s="240"/>
      <c r="AB146" s="276">
        <f>SUM(AB140:AB145)</f>
        <v>12013</v>
      </c>
      <c r="AC146" s="240"/>
      <c r="AD146" s="276">
        <f>SUM(AD140:AD145)</f>
        <v>80084</v>
      </c>
      <c r="AE146" s="5"/>
      <c r="AF146" s="6"/>
      <c r="AJ146" s="6"/>
      <c r="AK146" s="6"/>
      <c r="AL146" s="6"/>
      <c r="AM146" s="6"/>
      <c r="AN146" s="6"/>
      <c r="AO146" s="6"/>
      <c r="AP146" s="6"/>
      <c r="AQ146" s="6"/>
    </row>
    <row r="147" spans="1:43" ht="13.5" customHeight="1" x14ac:dyDescent="0.2">
      <c r="B147" s="4"/>
      <c r="C147" s="4"/>
      <c r="F147" s="240"/>
      <c r="G147" s="240"/>
      <c r="H147" s="240"/>
      <c r="I147" s="240"/>
      <c r="J147" s="240"/>
      <c r="K147" s="240"/>
      <c r="L147" s="262"/>
      <c r="M147" s="240"/>
      <c r="N147" s="262"/>
      <c r="O147" s="240"/>
      <c r="P147" s="262"/>
      <c r="Q147" s="240"/>
      <c r="R147" s="262"/>
      <c r="S147" s="240"/>
      <c r="T147" s="262"/>
      <c r="U147" s="240"/>
      <c r="V147" s="262"/>
      <c r="W147" s="240"/>
      <c r="X147" s="262"/>
      <c r="Y147" s="240"/>
      <c r="Z147" s="262"/>
      <c r="AA147" s="240"/>
      <c r="AB147" s="239"/>
      <c r="AC147" s="240"/>
      <c r="AD147" s="239"/>
      <c r="AE147" s="5"/>
      <c r="AF147" s="6"/>
      <c r="AJ147" s="6"/>
      <c r="AK147" s="6"/>
      <c r="AL147" s="6"/>
      <c r="AM147" s="6"/>
      <c r="AN147" s="6"/>
      <c r="AO147" s="6"/>
      <c r="AP147" s="6"/>
      <c r="AQ147" s="6"/>
    </row>
    <row r="148" spans="1:43" ht="13.5" customHeight="1" x14ac:dyDescent="0.2">
      <c r="B148" s="17" t="s">
        <v>140</v>
      </c>
      <c r="C148" s="17"/>
      <c r="D148" s="17"/>
      <c r="E148" s="17"/>
      <c r="F148" s="240"/>
      <c r="G148" s="240"/>
      <c r="H148" s="240"/>
      <c r="I148" s="240"/>
      <c r="J148" s="240"/>
      <c r="K148" s="280"/>
      <c r="L148" s="280"/>
      <c r="M148" s="280"/>
      <c r="N148" s="280"/>
      <c r="O148" s="280"/>
      <c r="P148" s="280"/>
      <c r="Q148" s="280"/>
      <c r="R148" s="280"/>
      <c r="S148" s="280"/>
      <c r="T148" s="280"/>
      <c r="U148" s="280"/>
      <c r="V148" s="280"/>
      <c r="W148" s="280"/>
      <c r="X148" s="280"/>
      <c r="Y148" s="280"/>
      <c r="Z148" s="280"/>
      <c r="AA148" s="280"/>
      <c r="AB148" s="240"/>
      <c r="AC148" s="280"/>
      <c r="AD148" s="240"/>
      <c r="AE148" s="17"/>
      <c r="AF148" s="6"/>
      <c r="AJ148" s="6"/>
      <c r="AK148" s="6"/>
      <c r="AL148" s="6"/>
      <c r="AM148" s="6"/>
      <c r="AN148" s="6"/>
      <c r="AO148" s="6"/>
      <c r="AP148" s="6"/>
      <c r="AQ148" s="6"/>
    </row>
    <row r="149" spans="1:43" s="20" customFormat="1" ht="13.15" customHeight="1" x14ac:dyDescent="0.2">
      <c r="F149" s="239"/>
      <c r="G149" s="239"/>
      <c r="H149" s="239"/>
      <c r="I149" s="240"/>
      <c r="J149" s="240">
        <f>+F149-H149</f>
        <v>0</v>
      </c>
      <c r="K149" s="240"/>
      <c r="L149" s="240"/>
      <c r="M149" s="240"/>
      <c r="N149" s="240"/>
      <c r="O149" s="240"/>
      <c r="P149" s="240"/>
      <c r="Q149" s="240"/>
      <c r="R149" s="240"/>
      <c r="S149" s="240"/>
      <c r="T149" s="240"/>
      <c r="U149" s="240"/>
      <c r="V149" s="240"/>
      <c r="W149" s="240"/>
      <c r="X149" s="240"/>
      <c r="Y149" s="240"/>
      <c r="Z149" s="240"/>
      <c r="AA149" s="240"/>
      <c r="AB149" s="240"/>
      <c r="AC149" s="240"/>
      <c r="AD149" s="240">
        <f t="shared" ref="AD149:AD152" si="25">J149-SUM(L149:AB149)</f>
        <v>0</v>
      </c>
      <c r="AE149" s="5"/>
      <c r="AG149" s="5"/>
      <c r="AH149" s="5"/>
      <c r="AI149" s="5"/>
    </row>
    <row r="150" spans="1:43" ht="13.15" customHeight="1" x14ac:dyDescent="0.2">
      <c r="F150" s="239"/>
      <c r="G150" s="239"/>
      <c r="H150" s="239"/>
      <c r="I150" s="240"/>
      <c r="J150" s="240">
        <f>+F150-H150</f>
        <v>0</v>
      </c>
      <c r="K150" s="240"/>
      <c r="L150" s="240"/>
      <c r="M150" s="240"/>
      <c r="N150" s="240"/>
      <c r="O150" s="240"/>
      <c r="P150" s="240"/>
      <c r="Q150" s="240"/>
      <c r="R150" s="240"/>
      <c r="S150" s="240"/>
      <c r="T150" s="240"/>
      <c r="U150" s="240"/>
      <c r="V150" s="240"/>
      <c r="W150" s="240"/>
      <c r="X150" s="240"/>
      <c r="Y150" s="240"/>
      <c r="Z150" s="240"/>
      <c r="AA150" s="240"/>
      <c r="AB150" s="239"/>
      <c r="AC150" s="240"/>
      <c r="AD150" s="240">
        <f t="shared" si="25"/>
        <v>0</v>
      </c>
      <c r="AE150" s="5"/>
      <c r="AF150" s="6"/>
      <c r="AJ150" s="6"/>
      <c r="AK150" s="6"/>
      <c r="AL150" s="6"/>
      <c r="AM150" s="6"/>
      <c r="AN150" s="6"/>
      <c r="AO150" s="6"/>
      <c r="AP150" s="6"/>
      <c r="AQ150" s="6"/>
    </row>
    <row r="151" spans="1:43" ht="13.5" customHeight="1" x14ac:dyDescent="0.2">
      <c r="F151" s="239"/>
      <c r="G151" s="239"/>
      <c r="H151" s="239"/>
      <c r="I151" s="240"/>
      <c r="J151" s="240">
        <f>+F151-H151</f>
        <v>0</v>
      </c>
      <c r="K151" s="240"/>
      <c r="L151" s="240"/>
      <c r="M151" s="240"/>
      <c r="N151" s="240"/>
      <c r="O151" s="240"/>
      <c r="P151" s="240"/>
      <c r="Q151" s="240"/>
      <c r="R151" s="240"/>
      <c r="S151" s="240"/>
      <c r="T151" s="240"/>
      <c r="U151" s="240"/>
      <c r="V151" s="240"/>
      <c r="W151" s="240"/>
      <c r="X151" s="240"/>
      <c r="Y151" s="240"/>
      <c r="Z151" s="240"/>
      <c r="AA151" s="240"/>
      <c r="AB151" s="239"/>
      <c r="AC151" s="240"/>
      <c r="AD151" s="240">
        <f t="shared" si="25"/>
        <v>0</v>
      </c>
      <c r="AE151" s="5"/>
      <c r="AF151" s="6"/>
      <c r="AJ151" s="6"/>
      <c r="AK151" s="6"/>
      <c r="AL151" s="6"/>
      <c r="AM151" s="6"/>
      <c r="AN151" s="6"/>
      <c r="AO151" s="6"/>
      <c r="AP151" s="6"/>
      <c r="AQ151" s="6"/>
    </row>
    <row r="152" spans="1:43" ht="13.5" customHeight="1" x14ac:dyDescent="0.2">
      <c r="F152" s="239"/>
      <c r="G152" s="239"/>
      <c r="H152" s="239"/>
      <c r="I152" s="240"/>
      <c r="J152" s="240">
        <f>+F152-H152</f>
        <v>0</v>
      </c>
      <c r="K152" s="240"/>
      <c r="L152" s="240"/>
      <c r="M152" s="240"/>
      <c r="N152" s="240"/>
      <c r="O152" s="240"/>
      <c r="P152" s="240"/>
      <c r="Q152" s="240"/>
      <c r="R152" s="240"/>
      <c r="S152" s="240"/>
      <c r="T152" s="240"/>
      <c r="U152" s="240"/>
      <c r="V152" s="240"/>
      <c r="W152" s="240"/>
      <c r="X152" s="240"/>
      <c r="Y152" s="240"/>
      <c r="Z152" s="240"/>
      <c r="AA152" s="240"/>
      <c r="AB152" s="239"/>
      <c r="AC152" s="240"/>
      <c r="AD152" s="240">
        <f t="shared" si="25"/>
        <v>0</v>
      </c>
      <c r="AE152" s="5"/>
      <c r="AF152" s="6"/>
      <c r="AJ152" s="6"/>
      <c r="AK152" s="6"/>
      <c r="AL152" s="6"/>
      <c r="AM152" s="6"/>
      <c r="AN152" s="6"/>
      <c r="AO152" s="6"/>
      <c r="AP152" s="6"/>
      <c r="AQ152" s="6"/>
    </row>
    <row r="153" spans="1:43" ht="13.5" customHeight="1" x14ac:dyDescent="0.2">
      <c r="F153" s="239"/>
      <c r="G153" s="239"/>
      <c r="H153" s="239"/>
      <c r="I153" s="240"/>
      <c r="J153" s="239"/>
      <c r="K153" s="240"/>
      <c r="L153" s="277"/>
      <c r="M153" s="240"/>
      <c r="N153" s="277"/>
      <c r="O153" s="240"/>
      <c r="P153" s="277"/>
      <c r="Q153" s="240"/>
      <c r="R153" s="277"/>
      <c r="S153" s="240"/>
      <c r="T153" s="277"/>
      <c r="U153" s="240"/>
      <c r="V153" s="277"/>
      <c r="W153" s="277"/>
      <c r="X153" s="277"/>
      <c r="Y153" s="240"/>
      <c r="Z153" s="277"/>
      <c r="AA153" s="240"/>
      <c r="AB153" s="239"/>
      <c r="AC153" s="240"/>
      <c r="AD153" s="239"/>
      <c r="AE153" s="4"/>
      <c r="AF153" s="6"/>
      <c r="AJ153" s="6"/>
      <c r="AK153" s="6"/>
      <c r="AL153" s="6"/>
      <c r="AM153" s="6"/>
      <c r="AN153" s="6"/>
      <c r="AO153" s="6"/>
      <c r="AP153" s="6"/>
      <c r="AQ153" s="6"/>
    </row>
    <row r="154" spans="1:43" ht="13.5" customHeight="1" x14ac:dyDescent="0.2">
      <c r="B154" s="4"/>
      <c r="C154" s="4"/>
      <c r="E154" s="91" t="s">
        <v>349</v>
      </c>
      <c r="F154" s="276">
        <f>SUM(F149:F153)</f>
        <v>0</v>
      </c>
      <c r="G154" s="240"/>
      <c r="H154" s="276">
        <f>SUM(H149:H153)</f>
        <v>0</v>
      </c>
      <c r="I154" s="240"/>
      <c r="J154" s="276">
        <f>SUM(J149:J153)</f>
        <v>0</v>
      </c>
      <c r="K154" s="240"/>
      <c r="L154" s="276">
        <f>SUM(L149:L153)</f>
        <v>0</v>
      </c>
      <c r="M154" s="240"/>
      <c r="N154" s="276">
        <f>SUM(N149:N153)</f>
        <v>0</v>
      </c>
      <c r="O154" s="240"/>
      <c r="P154" s="276">
        <f>SUM(P149:P153)</f>
        <v>0</v>
      </c>
      <c r="Q154" s="240"/>
      <c r="R154" s="276">
        <f>SUM(R149:R153)</f>
        <v>0</v>
      </c>
      <c r="S154" s="240"/>
      <c r="T154" s="276">
        <f>SUM(T149:T153)</f>
        <v>0</v>
      </c>
      <c r="U154" s="240"/>
      <c r="V154" s="276">
        <f>SUM(V149:V153)</f>
        <v>0</v>
      </c>
      <c r="W154" s="240"/>
      <c r="X154" s="276">
        <f>SUM(X149:X153)</f>
        <v>0</v>
      </c>
      <c r="Y154" s="240"/>
      <c r="Z154" s="276">
        <f>SUM(Z149:Z153)</f>
        <v>0</v>
      </c>
      <c r="AA154" s="240"/>
      <c r="AB154" s="276">
        <f>SUM(AB148:AB153)</f>
        <v>0</v>
      </c>
      <c r="AC154" s="240"/>
      <c r="AD154" s="276">
        <f>SUM(AD148:AD153)</f>
        <v>0</v>
      </c>
      <c r="AE154" s="5"/>
      <c r="AF154" s="6"/>
      <c r="AJ154" s="6"/>
      <c r="AK154" s="6"/>
      <c r="AL154" s="6"/>
      <c r="AM154" s="6"/>
      <c r="AN154" s="6"/>
      <c r="AO154" s="6"/>
      <c r="AP154" s="6"/>
      <c r="AQ154" s="6"/>
    </row>
    <row r="155" spans="1:43" s="5" customFormat="1" ht="13.5" customHeight="1" x14ac:dyDescent="0.2">
      <c r="B155" s="4"/>
      <c r="C155" s="4"/>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row>
    <row r="156" spans="1:43" ht="13.5" customHeight="1" x14ac:dyDescent="0.2">
      <c r="B156" s="17" t="s">
        <v>181</v>
      </c>
      <c r="C156" s="17"/>
      <c r="D156" s="17"/>
      <c r="E156" s="17"/>
      <c r="F156" s="240"/>
      <c r="G156" s="240"/>
      <c r="H156" s="240"/>
      <c r="I156" s="240"/>
      <c r="J156" s="240"/>
      <c r="K156" s="280"/>
      <c r="L156" s="280"/>
      <c r="M156" s="280"/>
      <c r="N156" s="280"/>
      <c r="O156" s="280"/>
      <c r="P156" s="280"/>
      <c r="Q156" s="280"/>
      <c r="R156" s="280"/>
      <c r="S156" s="280"/>
      <c r="T156" s="280"/>
      <c r="U156" s="280"/>
      <c r="V156" s="280"/>
      <c r="W156" s="280"/>
      <c r="X156" s="280"/>
      <c r="Y156" s="280"/>
      <c r="Z156" s="280"/>
      <c r="AA156" s="280"/>
      <c r="AB156" s="240"/>
      <c r="AC156" s="280"/>
      <c r="AD156" s="240"/>
      <c r="AE156" s="17"/>
      <c r="AF156" s="6"/>
      <c r="AJ156" s="6"/>
      <c r="AK156" s="6"/>
      <c r="AL156" s="6"/>
      <c r="AM156" s="6"/>
      <c r="AN156" s="6"/>
      <c r="AO156" s="6"/>
      <c r="AP156" s="6"/>
      <c r="AQ156" s="6"/>
    </row>
    <row r="157" spans="1:43" s="20" customFormat="1" ht="13.5" customHeight="1" x14ac:dyDescent="0.2">
      <c r="A157" s="91"/>
      <c r="C157" s="20" t="s">
        <v>542</v>
      </c>
      <c r="F157" s="239"/>
      <c r="G157" s="239"/>
      <c r="H157" s="239"/>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5"/>
      <c r="AG157" s="5"/>
      <c r="AH157" s="5"/>
      <c r="AI157" s="5"/>
    </row>
    <row r="158" spans="1:43" ht="13.5" customHeight="1" x14ac:dyDescent="0.2">
      <c r="A158" s="6">
        <v>500</v>
      </c>
      <c r="D158" s="6" t="s">
        <v>540</v>
      </c>
      <c r="F158" s="239"/>
      <c r="G158" s="239"/>
      <c r="H158" s="239">
        <v>-500000</v>
      </c>
      <c r="I158" s="240"/>
      <c r="J158" s="240">
        <f>+F158-H158</f>
        <v>500000</v>
      </c>
      <c r="K158" s="240"/>
      <c r="L158" s="240"/>
      <c r="M158" s="240"/>
      <c r="N158" s="240">
        <v>420000</v>
      </c>
      <c r="O158" s="240"/>
      <c r="P158" s="240"/>
      <c r="Q158" s="240"/>
      <c r="R158" s="240"/>
      <c r="S158" s="240"/>
      <c r="T158" s="240"/>
      <c r="U158" s="240"/>
      <c r="V158" s="240"/>
      <c r="W158" s="240"/>
      <c r="X158" s="240">
        <v>8812</v>
      </c>
      <c r="Y158" s="240"/>
      <c r="Z158" s="240">
        <v>18750</v>
      </c>
      <c r="AA158" s="240"/>
      <c r="AB158" s="240">
        <v>6188</v>
      </c>
      <c r="AC158" s="240"/>
      <c r="AD158" s="240">
        <f t="shared" ref="AD158:AD160" si="26">J158-SUM(L158:AB158)</f>
        <v>46250</v>
      </c>
      <c r="AE158" s="5"/>
      <c r="AF158" s="6"/>
      <c r="AJ158" s="6"/>
      <c r="AK158" s="6"/>
      <c r="AL158" s="6"/>
      <c r="AM158" s="6"/>
      <c r="AN158" s="6"/>
      <c r="AO158" s="6"/>
      <c r="AP158" s="6"/>
      <c r="AQ158" s="6"/>
    </row>
    <row r="159" spans="1:43" ht="13.5" customHeight="1" x14ac:dyDescent="0.2">
      <c r="F159" s="239"/>
      <c r="G159" s="239"/>
      <c r="H159" s="239"/>
      <c r="I159" s="240"/>
      <c r="J159" s="240">
        <f>+F159-H159</f>
        <v>0</v>
      </c>
      <c r="K159" s="240"/>
      <c r="L159" s="240"/>
      <c r="M159" s="240"/>
      <c r="N159" s="240"/>
      <c r="O159" s="240"/>
      <c r="P159" s="240"/>
      <c r="Q159" s="240"/>
      <c r="R159" s="240"/>
      <c r="S159" s="240"/>
      <c r="T159" s="240"/>
      <c r="U159" s="240"/>
      <c r="V159" s="240"/>
      <c r="W159" s="240"/>
      <c r="X159" s="240"/>
      <c r="Y159" s="240"/>
      <c r="Z159" s="240"/>
      <c r="AA159" s="240"/>
      <c r="AB159" s="239"/>
      <c r="AC159" s="240"/>
      <c r="AD159" s="240">
        <f t="shared" si="26"/>
        <v>0</v>
      </c>
      <c r="AE159" s="5"/>
      <c r="AF159" s="6"/>
      <c r="AJ159" s="6"/>
      <c r="AK159" s="6"/>
      <c r="AL159" s="6"/>
      <c r="AM159" s="6"/>
      <c r="AN159" s="6"/>
      <c r="AO159" s="6"/>
      <c r="AP159" s="6"/>
      <c r="AQ159" s="6"/>
    </row>
    <row r="160" spans="1:43" ht="13.5" customHeight="1" x14ac:dyDescent="0.2">
      <c r="F160" s="239"/>
      <c r="G160" s="239"/>
      <c r="H160" s="239"/>
      <c r="I160" s="240"/>
      <c r="J160" s="240">
        <f>+F160-H160</f>
        <v>0</v>
      </c>
      <c r="K160" s="240"/>
      <c r="L160" s="240"/>
      <c r="M160" s="240"/>
      <c r="N160" s="240"/>
      <c r="O160" s="240"/>
      <c r="P160" s="240"/>
      <c r="Q160" s="240"/>
      <c r="R160" s="240"/>
      <c r="S160" s="240"/>
      <c r="T160" s="240"/>
      <c r="U160" s="240"/>
      <c r="V160" s="240"/>
      <c r="W160" s="240"/>
      <c r="X160" s="240"/>
      <c r="Y160" s="240"/>
      <c r="Z160" s="240"/>
      <c r="AA160" s="240"/>
      <c r="AB160" s="239"/>
      <c r="AC160" s="240"/>
      <c r="AD160" s="240">
        <f t="shared" si="26"/>
        <v>0</v>
      </c>
      <c r="AE160" s="5"/>
      <c r="AF160" s="6"/>
      <c r="AJ160" s="6"/>
      <c r="AK160" s="6"/>
      <c r="AL160" s="6"/>
      <c r="AM160" s="6"/>
      <c r="AN160" s="6"/>
      <c r="AO160" s="6"/>
      <c r="AP160" s="6"/>
      <c r="AQ160" s="6"/>
    </row>
    <row r="161" spans="1:43" ht="13.5" customHeight="1" x14ac:dyDescent="0.2">
      <c r="F161" s="239"/>
      <c r="G161" s="239"/>
      <c r="H161" s="239"/>
      <c r="I161" s="240"/>
      <c r="J161" s="239"/>
      <c r="K161" s="240"/>
      <c r="L161" s="277"/>
      <c r="M161" s="240"/>
      <c r="N161" s="277"/>
      <c r="O161" s="240"/>
      <c r="P161" s="277"/>
      <c r="Q161" s="240"/>
      <c r="R161" s="277"/>
      <c r="S161" s="240"/>
      <c r="T161" s="277"/>
      <c r="U161" s="240"/>
      <c r="V161" s="277"/>
      <c r="W161" s="277"/>
      <c r="X161" s="277"/>
      <c r="Y161" s="240"/>
      <c r="Z161" s="277"/>
      <c r="AA161" s="240"/>
      <c r="AB161" s="239"/>
      <c r="AC161" s="240"/>
      <c r="AD161" s="239"/>
      <c r="AE161" s="4"/>
      <c r="AF161" s="6"/>
      <c r="AJ161" s="6"/>
      <c r="AK161" s="6"/>
      <c r="AL161" s="6"/>
      <c r="AM161" s="6"/>
      <c r="AN161" s="6"/>
      <c r="AO161" s="6"/>
      <c r="AP161" s="6"/>
      <c r="AQ161" s="6"/>
    </row>
    <row r="162" spans="1:43" ht="13.5" customHeight="1" x14ac:dyDescent="0.2">
      <c r="B162" s="4"/>
      <c r="C162" s="4"/>
      <c r="E162" s="91" t="s">
        <v>350</v>
      </c>
      <c r="F162" s="276">
        <f>SUM(F157:F161)</f>
        <v>0</v>
      </c>
      <c r="G162" s="240"/>
      <c r="H162" s="276">
        <f>SUM(H157:H161)</f>
        <v>-500000</v>
      </c>
      <c r="I162" s="240"/>
      <c r="J162" s="276">
        <f>SUM(J157:J161)</f>
        <v>500000</v>
      </c>
      <c r="K162" s="240"/>
      <c r="L162" s="276">
        <f>SUM(L157:L161)</f>
        <v>0</v>
      </c>
      <c r="M162" s="240"/>
      <c r="N162" s="276">
        <f>SUM(N157:N161)</f>
        <v>420000</v>
      </c>
      <c r="O162" s="240"/>
      <c r="P162" s="276">
        <f>SUM(P157:P161)</f>
        <v>0</v>
      </c>
      <c r="Q162" s="240"/>
      <c r="R162" s="276">
        <f>SUM(R157:R161)</f>
        <v>0</v>
      </c>
      <c r="S162" s="240"/>
      <c r="T162" s="276">
        <f>SUM(T157:T161)</f>
        <v>0</v>
      </c>
      <c r="U162" s="240"/>
      <c r="V162" s="276">
        <f>SUM(V157:V161)</f>
        <v>0</v>
      </c>
      <c r="W162" s="240"/>
      <c r="X162" s="276">
        <f>SUM(X157:X161)</f>
        <v>8812</v>
      </c>
      <c r="Y162" s="240"/>
      <c r="Z162" s="276">
        <f>SUM(Z157:Z161)</f>
        <v>18750</v>
      </c>
      <c r="AA162" s="240"/>
      <c r="AB162" s="276">
        <f>SUM(AB156:AB161)</f>
        <v>6188</v>
      </c>
      <c r="AC162" s="240"/>
      <c r="AD162" s="276">
        <f>SUM(AD156:AD161)</f>
        <v>46250</v>
      </c>
      <c r="AE162" s="5"/>
      <c r="AF162" s="6"/>
      <c r="AJ162" s="6"/>
      <c r="AK162" s="6"/>
      <c r="AL162" s="6"/>
      <c r="AM162" s="6"/>
      <c r="AN162" s="6"/>
      <c r="AO162" s="6"/>
      <c r="AP162" s="6"/>
      <c r="AQ162" s="6"/>
    </row>
    <row r="163" spans="1:43" ht="13.5" customHeight="1" x14ac:dyDescent="0.2">
      <c r="F163" s="277"/>
      <c r="G163" s="277"/>
      <c r="H163" s="277"/>
      <c r="I163" s="277"/>
      <c r="J163" s="277"/>
      <c r="K163" s="240"/>
      <c r="L163" s="240"/>
      <c r="M163" s="240"/>
      <c r="N163" s="240"/>
      <c r="O163" s="240"/>
      <c r="P163" s="240"/>
      <c r="Q163" s="240"/>
      <c r="R163" s="240"/>
      <c r="S163" s="240"/>
      <c r="T163" s="240"/>
      <c r="U163" s="240"/>
      <c r="V163" s="240"/>
      <c r="W163" s="240"/>
      <c r="X163" s="240"/>
      <c r="Y163" s="240"/>
      <c r="Z163" s="240"/>
      <c r="AA163" s="240"/>
      <c r="AB163" s="240"/>
      <c r="AC163" s="240"/>
      <c r="AD163" s="240"/>
      <c r="AE163" s="5"/>
      <c r="AF163" s="6"/>
      <c r="AJ163" s="6"/>
      <c r="AK163" s="6"/>
      <c r="AL163" s="6"/>
      <c r="AM163" s="6"/>
      <c r="AN163" s="6"/>
      <c r="AO163" s="6"/>
      <c r="AP163" s="6"/>
      <c r="AQ163" s="6"/>
    </row>
    <row r="164" spans="1:43" s="5" customFormat="1" ht="13.5" customHeight="1" x14ac:dyDescent="0.2">
      <c r="F164" s="277"/>
      <c r="G164" s="277"/>
      <c r="H164" s="277"/>
      <c r="I164" s="277"/>
      <c r="J164" s="277"/>
      <c r="K164" s="240"/>
      <c r="L164" s="240"/>
      <c r="M164" s="240"/>
      <c r="N164" s="240"/>
      <c r="O164" s="240"/>
      <c r="P164" s="240"/>
      <c r="Q164" s="240"/>
      <c r="R164" s="240"/>
      <c r="S164" s="240"/>
      <c r="T164" s="240"/>
      <c r="U164" s="240"/>
      <c r="V164" s="240"/>
      <c r="W164" s="240"/>
      <c r="X164" s="240"/>
      <c r="Y164" s="240"/>
      <c r="Z164" s="240"/>
      <c r="AA164" s="240"/>
      <c r="AB164" s="240"/>
      <c r="AC164" s="240"/>
      <c r="AD164" s="240"/>
    </row>
    <row r="165" spans="1:43" ht="13.5" customHeight="1" x14ac:dyDescent="0.2">
      <c r="B165" s="4"/>
      <c r="C165" s="4"/>
      <c r="E165" s="91" t="s">
        <v>351</v>
      </c>
      <c r="F165" s="276">
        <f>+F21+F31+F42+F49+F56+F66+F74+F82+F90+F98+F106+F114+F122+F130+F138+F146+F154+F162</f>
        <v>16786126</v>
      </c>
      <c r="G165" s="240"/>
      <c r="H165" s="276">
        <f>+H21+H31+H42+H49+H56+H66+H74+H82+H90+H98+H106+H114+H122+H130+H138+H146+H154+H162</f>
        <v>423000</v>
      </c>
      <c r="I165" s="240"/>
      <c r="J165" s="276">
        <f>+J21+J31+J42+J49+J56+J66+J74+J82+J90+J98+J106+J114+J122+J130+J138+J146+J154+J162</f>
        <v>16363126</v>
      </c>
      <c r="K165" s="240"/>
      <c r="L165" s="276">
        <f>+L21+L31+L42+L49+L56+L66+L74+L82+L90+L98+L106+L114+L122+L130+L138+L146+L154+L162</f>
        <v>1389169</v>
      </c>
      <c r="M165" s="240"/>
      <c r="N165" s="276">
        <f>+N21+N31+N42+N49+N56+N66+N74+N82+N90+N98+N106+N114+N122+N130+N138+N146+N154+N162</f>
        <v>1952045</v>
      </c>
      <c r="O165" s="240"/>
      <c r="P165" s="276">
        <f>+P21+P31+P42+P49+P56+P66+P74+P82+P90+P98+P106+P114+P122+P130+P138+P146+P154+P162</f>
        <v>0</v>
      </c>
      <c r="Q165" s="240"/>
      <c r="R165" s="276">
        <f>+R21+R31+R42+R49+R56+R66+R74+R82+R90+R98+R106+R114+R122+R130+R138+R146+R154+R162</f>
        <v>788246</v>
      </c>
      <c r="S165" s="240"/>
      <c r="T165" s="276">
        <f>+T21+T31+T42+T49+T56+T66+T74+T82+T90+T98+T106+T114+T122+T130+T138+T146+T154+T162</f>
        <v>0</v>
      </c>
      <c r="U165" s="240"/>
      <c r="V165" s="276">
        <f>+V21+V31+V42+V49+V56+V66+V74+V82+V90+V98+V106+V114+V122+V130+V138+V146+V154+V162</f>
        <v>25000</v>
      </c>
      <c r="W165" s="240"/>
      <c r="X165" s="276">
        <f>+X21+X31+X42+X49+X56+X66+X74+X82+X90+X98+X106+X114+X122+X130+X138+X146+X154+X162</f>
        <v>1325556.9625000001</v>
      </c>
      <c r="Y165" s="240"/>
      <c r="Z165" s="276">
        <f>+Z21+Z31+Z42+Z49+Z56+Z66+Z74+Z82+Z90+Z98+Z106+Z114+Z122+Z130+Z138+Z146+Z154+Z162</f>
        <v>2820331.75</v>
      </c>
      <c r="AA165" s="240"/>
      <c r="AB165" s="276">
        <f>+AB21+AB31+AB42+AB49+AB56+AB66+AB74+AB82+AB90+AB98+AB106+AB114+AB122+AB130+AB138+AB146+AB154+AB162</f>
        <v>930709.93500000006</v>
      </c>
      <c r="AC165" s="240"/>
      <c r="AD165" s="276">
        <f>+AD21+AD31+AD42+AD49+AD56+AD66+AD74+AD82+AD90+AD98+AD106+AD114+AD122+AD130+AD138+AD146+AD154+AD162</f>
        <v>7132067.3525</v>
      </c>
      <c r="AE165" s="5"/>
      <c r="AF165" s="6"/>
      <c r="AJ165" s="6"/>
      <c r="AK165" s="6"/>
      <c r="AL165" s="6"/>
      <c r="AM165" s="6"/>
      <c r="AN165" s="6"/>
      <c r="AO165" s="6"/>
      <c r="AP165" s="6"/>
      <c r="AQ165" s="6"/>
    </row>
    <row r="166" spans="1:43" ht="13.5" customHeight="1" x14ac:dyDescent="0.2">
      <c r="F166" s="240"/>
      <c r="G166" s="240"/>
      <c r="H166" s="240"/>
      <c r="I166" s="240"/>
      <c r="J166" s="347" t="s">
        <v>264</v>
      </c>
      <c r="K166" s="240"/>
      <c r="L166" s="240"/>
      <c r="M166" s="240"/>
      <c r="N166" s="240"/>
      <c r="O166" s="240"/>
      <c r="P166" s="240"/>
      <c r="Q166" s="240"/>
      <c r="R166" s="240"/>
      <c r="S166" s="240"/>
      <c r="T166" s="240"/>
      <c r="U166" s="240"/>
      <c r="V166" s="240"/>
      <c r="W166" s="240"/>
      <c r="X166" s="240"/>
      <c r="Y166" s="277"/>
      <c r="Z166" s="240"/>
      <c r="AA166" s="277"/>
      <c r="AB166" s="240"/>
      <c r="AC166" s="277"/>
      <c r="AD166" s="240"/>
      <c r="AE166" s="5"/>
    </row>
    <row r="167" spans="1:43" ht="13.5" customHeight="1" x14ac:dyDescent="0.2">
      <c r="F167" s="240"/>
      <c r="G167" s="240"/>
      <c r="H167" s="240"/>
      <c r="I167" s="240"/>
      <c r="J167" s="348" t="s">
        <v>283</v>
      </c>
      <c r="K167" s="240"/>
      <c r="L167" s="239"/>
      <c r="M167" s="240"/>
      <c r="N167" s="239"/>
      <c r="O167" s="240"/>
      <c r="P167" s="239"/>
      <c r="Q167" s="240"/>
      <c r="R167" s="239"/>
      <c r="S167" s="240"/>
      <c r="T167" s="239"/>
      <c r="U167" s="240"/>
      <c r="V167" s="239"/>
      <c r="W167" s="240"/>
      <c r="X167" s="239"/>
      <c r="Y167" s="240"/>
      <c r="Z167" s="239"/>
      <c r="AA167" s="240"/>
      <c r="AB167" s="240"/>
      <c r="AC167" s="240"/>
      <c r="AD167" s="240"/>
      <c r="AE167" s="5"/>
    </row>
    <row r="168" spans="1:43" ht="16.5" customHeight="1" x14ac:dyDescent="0.2">
      <c r="B168" s="84" t="s">
        <v>158</v>
      </c>
      <c r="C168" s="84"/>
      <c r="D168" s="84"/>
      <c r="F168" s="239"/>
      <c r="G168" s="239"/>
      <c r="H168" s="239"/>
      <c r="I168" s="240"/>
      <c r="J168" s="239"/>
      <c r="K168" s="240"/>
      <c r="L168" s="239"/>
      <c r="M168" s="239"/>
      <c r="N168" s="239"/>
      <c r="O168" s="239"/>
      <c r="P168" s="239"/>
      <c r="Q168" s="239"/>
      <c r="R168" s="239"/>
      <c r="S168" s="239"/>
      <c r="T168" s="239"/>
      <c r="U168" s="239"/>
      <c r="V168" s="239"/>
      <c r="W168" s="239"/>
      <c r="X168" s="239"/>
      <c r="Y168" s="239"/>
      <c r="Z168" s="239"/>
      <c r="AA168" s="239"/>
      <c r="AB168" s="240"/>
      <c r="AC168" s="239"/>
      <c r="AD168" s="240"/>
    </row>
    <row r="169" spans="1:43" ht="16.5" customHeight="1" x14ac:dyDescent="0.2">
      <c r="A169" s="399">
        <v>780</v>
      </c>
      <c r="B169" s="398"/>
      <c r="C169" s="398"/>
      <c r="D169" s="398" t="s">
        <v>516</v>
      </c>
      <c r="F169" s="239">
        <v>41648</v>
      </c>
      <c r="G169" s="239"/>
      <c r="H169" s="239"/>
      <c r="I169" s="240"/>
      <c r="J169" s="240">
        <f>+F169-H169</f>
        <v>41648</v>
      </c>
      <c r="K169" s="240"/>
      <c r="L169" s="239"/>
      <c r="M169" s="239"/>
      <c r="N169" s="239"/>
      <c r="O169" s="239"/>
      <c r="P169" s="239"/>
      <c r="Q169" s="240"/>
      <c r="R169" s="239"/>
      <c r="S169" s="240"/>
      <c r="T169" s="239"/>
      <c r="U169" s="240"/>
      <c r="V169" s="239"/>
      <c r="W169" s="240"/>
      <c r="X169" s="239">
        <v>3995.3525</v>
      </c>
      <c r="Y169" s="240"/>
      <c r="Z169" s="240">
        <v>8500.75</v>
      </c>
      <c r="AA169" s="240"/>
      <c r="AB169" s="240">
        <v>2805.2474999999999</v>
      </c>
      <c r="AC169" s="240"/>
      <c r="AD169" s="240">
        <f t="shared" ref="AD169:AD172" si="27">J169-SUM(L169:AB169)</f>
        <v>26346.65</v>
      </c>
      <c r="AE169" s="5"/>
    </row>
    <row r="170" spans="1:43" ht="16.5" customHeight="1" x14ac:dyDescent="0.2">
      <c r="A170" s="399">
        <v>781</v>
      </c>
      <c r="B170" s="398"/>
      <c r="C170" s="398"/>
      <c r="D170" s="398" t="s">
        <v>517</v>
      </c>
      <c r="F170" s="239">
        <v>19474</v>
      </c>
      <c r="G170" s="239"/>
      <c r="H170" s="239"/>
      <c r="I170" s="240"/>
      <c r="J170" s="240">
        <f>+F170-H170</f>
        <v>19474</v>
      </c>
      <c r="K170" s="240"/>
      <c r="L170" s="239"/>
      <c r="M170" s="239"/>
      <c r="N170" s="239"/>
      <c r="O170" s="239"/>
      <c r="P170" s="239"/>
      <c r="Q170" s="240"/>
      <c r="R170" s="239"/>
      <c r="S170" s="240"/>
      <c r="T170" s="239"/>
      <c r="U170" s="240"/>
      <c r="V170" s="239"/>
      <c r="W170" s="240"/>
      <c r="X170" s="239">
        <v>2288.1949999999997</v>
      </c>
      <c r="Y170" s="240"/>
      <c r="Z170" s="240">
        <v>4868.5</v>
      </c>
      <c r="AA170" s="240"/>
      <c r="AB170" s="240">
        <v>1606.605</v>
      </c>
      <c r="AC170" s="240"/>
      <c r="AD170" s="240">
        <f t="shared" si="27"/>
        <v>10710.7</v>
      </c>
      <c r="AE170" s="5"/>
    </row>
    <row r="171" spans="1:43" ht="16.5" customHeight="1" x14ac:dyDescent="0.2">
      <c r="A171" s="399">
        <v>782</v>
      </c>
      <c r="B171" s="398"/>
      <c r="C171" s="398"/>
      <c r="D171" s="398" t="s">
        <v>518</v>
      </c>
      <c r="F171" s="239">
        <v>84661</v>
      </c>
      <c r="G171" s="239"/>
      <c r="H171" s="239"/>
      <c r="I171" s="240"/>
      <c r="J171" s="240">
        <f>+F171-H171</f>
        <v>84661</v>
      </c>
      <c r="K171" s="240"/>
      <c r="L171" s="239"/>
      <c r="M171" s="239"/>
      <c r="N171" s="239">
        <v>33481</v>
      </c>
      <c r="O171" s="239"/>
      <c r="P171" s="239"/>
      <c r="Q171" s="240"/>
      <c r="R171" s="239"/>
      <c r="S171" s="240"/>
      <c r="T171" s="239"/>
      <c r="U171" s="240"/>
      <c r="V171" s="239"/>
      <c r="W171" s="240"/>
      <c r="X171" s="239">
        <v>5673.4874999999993</v>
      </c>
      <c r="Y171" s="240"/>
      <c r="Z171" s="240">
        <v>12071.25</v>
      </c>
      <c r="AA171" s="240"/>
      <c r="AB171" s="240">
        <v>3983.5125000000003</v>
      </c>
      <c r="AC171" s="240"/>
      <c r="AD171" s="240">
        <f t="shared" si="27"/>
        <v>29451.75</v>
      </c>
      <c r="AE171" s="5"/>
    </row>
    <row r="172" spans="1:43" ht="16.5" customHeight="1" x14ac:dyDescent="0.2">
      <c r="A172" s="399">
        <v>785</v>
      </c>
      <c r="B172" s="398"/>
      <c r="C172" s="398"/>
      <c r="D172" s="398" t="s">
        <v>519</v>
      </c>
      <c r="F172" s="239">
        <v>42735</v>
      </c>
      <c r="G172" s="239"/>
      <c r="H172" s="239"/>
      <c r="I172" s="240"/>
      <c r="J172" s="240">
        <f>+F172-H172</f>
        <v>42735</v>
      </c>
      <c r="K172" s="240"/>
      <c r="L172" s="239"/>
      <c r="M172" s="239"/>
      <c r="N172" s="239"/>
      <c r="O172" s="239"/>
      <c r="P172" s="239"/>
      <c r="Q172" s="240"/>
      <c r="R172" s="239"/>
      <c r="S172" s="240"/>
      <c r="T172" s="239"/>
      <c r="U172" s="240"/>
      <c r="V172" s="239"/>
      <c r="W172" s="240"/>
      <c r="X172" s="239">
        <v>5021.3624999999993</v>
      </c>
      <c r="Y172" s="240"/>
      <c r="Z172" s="240">
        <v>10683.75</v>
      </c>
      <c r="AA172" s="240"/>
      <c r="AB172" s="240">
        <v>3525.6375000000003</v>
      </c>
      <c r="AC172" s="240"/>
      <c r="AD172" s="240">
        <f t="shared" si="27"/>
        <v>23504.25</v>
      </c>
      <c r="AE172" s="5"/>
    </row>
    <row r="173" spans="1:43" ht="16.5" customHeight="1" x14ac:dyDescent="0.2">
      <c r="F173" s="281"/>
      <c r="G173" s="240"/>
      <c r="H173" s="281"/>
      <c r="I173" s="240"/>
      <c r="J173" s="281"/>
      <c r="K173" s="240"/>
      <c r="L173" s="281"/>
      <c r="M173" s="240"/>
      <c r="N173" s="281"/>
      <c r="O173" s="240"/>
      <c r="P173" s="281"/>
      <c r="Q173" s="240"/>
      <c r="R173" s="281"/>
      <c r="S173" s="240"/>
      <c r="T173" s="281"/>
      <c r="U173" s="240"/>
      <c r="V173" s="281"/>
      <c r="W173" s="240"/>
      <c r="X173" s="281"/>
      <c r="Y173" s="240"/>
      <c r="Z173" s="281"/>
      <c r="AA173" s="240"/>
      <c r="AB173" s="240"/>
      <c r="AC173" s="240"/>
      <c r="AD173" s="240"/>
      <c r="AE173" s="5"/>
    </row>
    <row r="174" spans="1:43" ht="16.5" customHeight="1" x14ac:dyDescent="0.2">
      <c r="E174" s="91" t="s">
        <v>352</v>
      </c>
      <c r="F174" s="240">
        <f>SUM(F169:F173)</f>
        <v>188518</v>
      </c>
      <c r="G174" s="240"/>
      <c r="H174" s="240">
        <f>SUM(H169:H173)</f>
        <v>0</v>
      </c>
      <c r="I174" s="240"/>
      <c r="J174" s="240">
        <f>SUM(J169:J173)</f>
        <v>188518</v>
      </c>
      <c r="K174" s="240"/>
      <c r="L174" s="240">
        <f>SUM(L169:L173)</f>
        <v>0</v>
      </c>
      <c r="M174" s="240"/>
      <c r="N174" s="240">
        <f>SUM(N169:N173)</f>
        <v>33481</v>
      </c>
      <c r="O174" s="240"/>
      <c r="P174" s="240">
        <f>SUM(P169:P173)</f>
        <v>0</v>
      </c>
      <c r="Q174" s="240"/>
      <c r="R174" s="240">
        <f>SUM(R169:R173)</f>
        <v>0</v>
      </c>
      <c r="S174" s="240"/>
      <c r="T174" s="240">
        <f>SUM(T169:T173)</f>
        <v>0</v>
      </c>
      <c r="U174" s="240"/>
      <c r="V174" s="240">
        <f>SUM(V169:V173)</f>
        <v>0</v>
      </c>
      <c r="W174" s="240"/>
      <c r="X174" s="240">
        <f>SUM(X169:X173)</f>
        <v>16978.397499999999</v>
      </c>
      <c r="Y174" s="240"/>
      <c r="Z174" s="262">
        <f>SUM(Z169:Z173)</f>
        <v>36124.25</v>
      </c>
      <c r="AA174" s="240"/>
      <c r="AB174" s="262">
        <f>SUM(AB168:AB173)</f>
        <v>11921.002500000001</v>
      </c>
      <c r="AC174" s="240"/>
      <c r="AD174" s="262">
        <f>SUM(AD168:AD173)</f>
        <v>90013.35</v>
      </c>
      <c r="AE174" s="5"/>
    </row>
    <row r="175" spans="1:43" ht="13.5" customHeight="1" x14ac:dyDescent="0.2">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5"/>
      <c r="AF175" s="6"/>
      <c r="AJ175" s="6"/>
      <c r="AK175" s="6"/>
      <c r="AL175" s="6"/>
      <c r="AM175" s="6"/>
      <c r="AN175" s="6"/>
      <c r="AO175" s="6"/>
      <c r="AP175" s="6"/>
      <c r="AQ175" s="6"/>
    </row>
    <row r="176" spans="1:43" ht="13.5" customHeight="1" x14ac:dyDescent="0.2">
      <c r="B176" s="84" t="s">
        <v>326</v>
      </c>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5"/>
      <c r="AF176" s="6"/>
      <c r="AJ176" s="6"/>
      <c r="AK176" s="6"/>
      <c r="AL176" s="6"/>
      <c r="AM176" s="6"/>
      <c r="AN176" s="6"/>
      <c r="AO176" s="6"/>
      <c r="AP176" s="6"/>
      <c r="AQ176" s="6"/>
    </row>
    <row r="177" spans="2:43" ht="13.5" customHeight="1" x14ac:dyDescent="0.2">
      <c r="D177" s="6" t="s">
        <v>327</v>
      </c>
      <c r="F177" s="240">
        <v>110836</v>
      </c>
      <c r="G177" s="240"/>
      <c r="H177" s="240"/>
      <c r="I177" s="240"/>
      <c r="J177" s="240">
        <f>+F177-H177</f>
        <v>110836</v>
      </c>
      <c r="K177" s="240"/>
      <c r="L177" s="240"/>
      <c r="M177" s="240"/>
      <c r="N177" s="240">
        <v>46000</v>
      </c>
      <c r="O177" s="240"/>
      <c r="P177" s="240"/>
      <c r="Q177" s="240"/>
      <c r="R177" s="240"/>
      <c r="S177" s="240"/>
      <c r="T177" s="240"/>
      <c r="U177" s="240"/>
      <c r="V177" s="240"/>
      <c r="W177" s="240"/>
      <c r="X177" s="240"/>
      <c r="Y177" s="240"/>
      <c r="Z177" s="240">
        <v>16209</v>
      </c>
      <c r="AA177" s="240"/>
      <c r="AB177" s="240">
        <v>5349</v>
      </c>
      <c r="AC177" s="240"/>
      <c r="AD177" s="240">
        <f t="shared" ref="AD177" si="28">J177-SUM(L177:AB177)</f>
        <v>43278</v>
      </c>
      <c r="AE177" s="5"/>
      <c r="AF177" s="6"/>
      <c r="AJ177" s="6"/>
      <c r="AK177" s="6"/>
      <c r="AL177" s="6"/>
      <c r="AM177" s="6"/>
      <c r="AN177" s="6"/>
      <c r="AO177" s="6"/>
      <c r="AP177" s="6"/>
      <c r="AQ177" s="6"/>
    </row>
    <row r="178" spans="2:43" ht="13.5" customHeight="1" x14ac:dyDescent="0.2">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5"/>
      <c r="AF178" s="6"/>
      <c r="AJ178" s="6"/>
      <c r="AK178" s="6"/>
      <c r="AL178" s="6"/>
      <c r="AM178" s="6"/>
      <c r="AN178" s="6"/>
      <c r="AO178" s="6"/>
      <c r="AP178" s="6"/>
      <c r="AQ178" s="6"/>
    </row>
    <row r="179" spans="2:43" ht="13.5" customHeight="1" x14ac:dyDescent="0.2">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5"/>
      <c r="AF179" s="6"/>
      <c r="AJ179" s="6"/>
      <c r="AK179" s="6"/>
      <c r="AL179" s="6"/>
      <c r="AM179" s="6"/>
      <c r="AN179" s="6"/>
      <c r="AO179" s="6"/>
      <c r="AP179" s="6"/>
      <c r="AQ179" s="6"/>
    </row>
    <row r="180" spans="2:43" ht="13.5" customHeight="1" x14ac:dyDescent="0.2">
      <c r="E180" s="91" t="s">
        <v>353</v>
      </c>
      <c r="F180" s="262">
        <f>SUM(F176:F179)</f>
        <v>110836</v>
      </c>
      <c r="G180" s="240"/>
      <c r="H180" s="262">
        <f>SUM(H176:H179)</f>
        <v>0</v>
      </c>
      <c r="I180" s="240"/>
      <c r="J180" s="262">
        <f>SUM(J176:J179)</f>
        <v>110836</v>
      </c>
      <c r="K180" s="240"/>
      <c r="L180" s="262">
        <f>SUM(L176:L179)</f>
        <v>0</v>
      </c>
      <c r="M180" s="240"/>
      <c r="N180" s="262">
        <f>SUM(N176:N179)</f>
        <v>46000</v>
      </c>
      <c r="O180" s="240"/>
      <c r="P180" s="262">
        <f>SUM(P176:P179)</f>
        <v>0</v>
      </c>
      <c r="Q180" s="240"/>
      <c r="R180" s="262">
        <f>SUM(R176:R179)</f>
        <v>0</v>
      </c>
      <c r="S180" s="240"/>
      <c r="T180" s="262">
        <f>SUM(T176:T179)</f>
        <v>0</v>
      </c>
      <c r="U180" s="240"/>
      <c r="V180" s="262">
        <f>SUM(V176:V179)</f>
        <v>0</v>
      </c>
      <c r="W180" s="240"/>
      <c r="X180" s="262">
        <f>SUM(X176:X179)</f>
        <v>0</v>
      </c>
      <c r="Y180" s="240"/>
      <c r="Z180" s="262">
        <f>SUM(Z176:Z179)</f>
        <v>16209</v>
      </c>
      <c r="AA180" s="240"/>
      <c r="AB180" s="262">
        <f>SUM(AB176:AB179)</f>
        <v>5349</v>
      </c>
      <c r="AC180" s="240"/>
      <c r="AD180" s="262">
        <f>SUM(AD176:AD179)</f>
        <v>43278</v>
      </c>
      <c r="AE180" s="5"/>
      <c r="AF180" s="6"/>
      <c r="AJ180" s="6"/>
      <c r="AK180" s="6"/>
      <c r="AL180" s="6"/>
      <c r="AM180" s="6"/>
      <c r="AN180" s="6"/>
      <c r="AO180" s="6"/>
      <c r="AP180" s="6"/>
      <c r="AQ180" s="6"/>
    </row>
    <row r="181" spans="2:43" ht="13.5" customHeight="1" x14ac:dyDescent="0.2">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5"/>
      <c r="AF181" s="6"/>
      <c r="AJ181" s="6"/>
      <c r="AK181" s="6"/>
      <c r="AL181" s="6"/>
      <c r="AM181" s="6"/>
      <c r="AN181" s="6"/>
      <c r="AO181" s="6"/>
      <c r="AP181" s="6"/>
      <c r="AQ181" s="6"/>
    </row>
    <row r="182" spans="2:43" ht="13.5" customHeight="1" x14ac:dyDescent="0.2">
      <c r="B182" s="84"/>
      <c r="C182" s="84"/>
      <c r="D182" s="6" t="s">
        <v>159</v>
      </c>
      <c r="F182" s="276">
        <f>F165+F174+F180</f>
        <v>17085480</v>
      </c>
      <c r="G182" s="240"/>
      <c r="H182" s="276">
        <f>H165+H174+H180</f>
        <v>423000</v>
      </c>
      <c r="I182" s="240"/>
      <c r="J182" s="276">
        <f>J165+J174+J180</f>
        <v>16662480</v>
      </c>
      <c r="K182" s="240"/>
      <c r="L182" s="276">
        <f>L165+L174+L180</f>
        <v>1389169</v>
      </c>
      <c r="M182" s="240"/>
      <c r="N182" s="276">
        <f>N165+N174+N180</f>
        <v>2031526</v>
      </c>
      <c r="O182" s="240"/>
      <c r="P182" s="276">
        <f>P165+P174+P180</f>
        <v>0</v>
      </c>
      <c r="Q182" s="240"/>
      <c r="R182" s="276">
        <f>R165+R174+R180</f>
        <v>788246</v>
      </c>
      <c r="S182" s="240"/>
      <c r="T182" s="276">
        <f>T165+T174+T180</f>
        <v>0</v>
      </c>
      <c r="U182" s="240"/>
      <c r="V182" s="276">
        <f>V165+V174+V180</f>
        <v>25000</v>
      </c>
      <c r="W182" s="240"/>
      <c r="X182" s="276">
        <f>X165+X174+X180</f>
        <v>1342535.36</v>
      </c>
      <c r="Y182" s="240"/>
      <c r="Z182" s="276">
        <f>Z165+Z174+Z180</f>
        <v>2872665</v>
      </c>
      <c r="AA182" s="240"/>
      <c r="AB182" s="276">
        <f>AB165+AB174+AB180</f>
        <v>947979.9375</v>
      </c>
      <c r="AC182" s="240"/>
      <c r="AD182" s="276">
        <f>AD165+AD174+AD180</f>
        <v>7265358.7024999997</v>
      </c>
      <c r="AE182" s="5"/>
      <c r="AF182" s="6"/>
      <c r="AJ182" s="6"/>
      <c r="AK182" s="6"/>
      <c r="AL182" s="6"/>
      <c r="AM182" s="6"/>
      <c r="AN182" s="6"/>
      <c r="AO182" s="6"/>
      <c r="AP182" s="6"/>
      <c r="AQ182" s="6"/>
    </row>
    <row r="183" spans="2:43" ht="13.5" customHeight="1" x14ac:dyDescent="0.2">
      <c r="F183" s="239"/>
      <c r="G183" s="239"/>
      <c r="H183" s="239"/>
      <c r="I183" s="240"/>
      <c r="J183" s="239"/>
      <c r="K183" s="240"/>
      <c r="L183" s="240"/>
      <c r="M183" s="240"/>
      <c r="N183" s="240"/>
      <c r="O183" s="240"/>
      <c r="P183" s="240"/>
      <c r="Q183" s="240"/>
      <c r="R183" s="240"/>
      <c r="S183" s="240"/>
      <c r="T183" s="240"/>
      <c r="U183" s="240"/>
      <c r="V183" s="240"/>
      <c r="W183" s="240"/>
      <c r="X183" s="240"/>
      <c r="Y183" s="240"/>
      <c r="Z183" s="240"/>
      <c r="AA183" s="240"/>
      <c r="AB183" s="239"/>
      <c r="AC183" s="240"/>
      <c r="AD183" s="239"/>
      <c r="AE183" s="5"/>
      <c r="AF183" s="6"/>
      <c r="AJ183" s="6"/>
      <c r="AK183" s="6"/>
      <c r="AL183" s="6"/>
      <c r="AM183" s="6"/>
      <c r="AN183" s="6"/>
      <c r="AO183" s="6"/>
      <c r="AP183" s="6"/>
      <c r="AQ183" s="6"/>
    </row>
    <row r="184" spans="2:43" ht="13.5" customHeight="1" x14ac:dyDescent="0.2">
      <c r="B184" s="84" t="s">
        <v>52</v>
      </c>
      <c r="C184" s="84"/>
      <c r="D184" s="84"/>
      <c r="F184" s="239"/>
      <c r="G184" s="239"/>
      <c r="H184" s="239"/>
      <c r="I184" s="240"/>
      <c r="J184" s="239"/>
      <c r="K184" s="240"/>
      <c r="L184" s="240"/>
      <c r="M184" s="240"/>
      <c r="N184" s="240"/>
      <c r="O184" s="240"/>
      <c r="P184" s="240"/>
      <c r="Q184" s="240"/>
      <c r="R184" s="240"/>
      <c r="S184" s="240"/>
      <c r="T184" s="240"/>
      <c r="U184" s="240"/>
      <c r="V184" s="240"/>
      <c r="W184" s="240"/>
      <c r="X184" s="240"/>
      <c r="Y184" s="240"/>
      <c r="Z184" s="240"/>
      <c r="AA184" s="240"/>
      <c r="AB184" s="239"/>
      <c r="AC184" s="240"/>
      <c r="AD184" s="239"/>
      <c r="AE184" s="5"/>
      <c r="AF184" s="6"/>
      <c r="AJ184" s="6"/>
      <c r="AK184" s="6"/>
      <c r="AL184" s="6"/>
      <c r="AM184" s="6"/>
      <c r="AN184" s="6"/>
      <c r="AO184" s="6"/>
      <c r="AP184" s="6"/>
      <c r="AQ184" s="6"/>
    </row>
    <row r="185" spans="2:43" ht="13.5" customHeight="1" x14ac:dyDescent="0.2">
      <c r="D185" s="6" t="s">
        <v>321</v>
      </c>
      <c r="F185" s="374"/>
      <c r="G185" s="239"/>
      <c r="H185" s="240"/>
      <c r="I185" s="240"/>
      <c r="J185" s="240">
        <f>H182</f>
        <v>423000</v>
      </c>
      <c r="K185" s="240"/>
      <c r="L185" s="239"/>
      <c r="M185" s="240"/>
      <c r="N185" s="239"/>
      <c r="O185" s="240"/>
      <c r="P185" s="239"/>
      <c r="Q185" s="240"/>
      <c r="R185" s="239">
        <v>23000</v>
      </c>
      <c r="S185" s="240"/>
      <c r="T185" s="239"/>
      <c r="U185" s="240"/>
      <c r="V185" s="239"/>
      <c r="W185" s="240"/>
      <c r="X185" s="239"/>
      <c r="Y185" s="240"/>
      <c r="Z185" s="240"/>
      <c r="AA185" s="240"/>
      <c r="AB185" s="239"/>
      <c r="AC185" s="240"/>
      <c r="AD185" s="240">
        <f t="shared" ref="AD185:AD186" si="29">J185-SUM(L185:AB185)</f>
        <v>400000</v>
      </c>
      <c r="AE185" s="5"/>
      <c r="AF185" s="6"/>
      <c r="AJ185" s="6"/>
      <c r="AK185" s="6"/>
      <c r="AL185" s="6"/>
      <c r="AM185" s="6"/>
      <c r="AN185" s="6"/>
      <c r="AO185" s="6"/>
      <c r="AP185" s="6"/>
      <c r="AQ185" s="6"/>
    </row>
    <row r="186" spans="2:43" ht="13.5" customHeight="1" x14ac:dyDescent="0.2">
      <c r="D186" s="6" t="s">
        <v>53</v>
      </c>
      <c r="F186" s="239">
        <v>4250000</v>
      </c>
      <c r="G186" s="239"/>
      <c r="H186" s="240"/>
      <c r="I186" s="240"/>
      <c r="J186" s="240">
        <f t="shared" ref="J186:J191" si="30">+F186-H186</f>
        <v>4250000</v>
      </c>
      <c r="K186" s="240"/>
      <c r="L186" s="239">
        <v>85317</v>
      </c>
      <c r="M186" s="240"/>
      <c r="N186" s="239">
        <v>54872</v>
      </c>
      <c r="O186" s="240"/>
      <c r="P186" s="239"/>
      <c r="Q186" s="240"/>
      <c r="R186" s="239">
        <v>108005</v>
      </c>
      <c r="S186" s="240"/>
      <c r="T186" s="239">
        <v>43807</v>
      </c>
      <c r="U186" s="240"/>
      <c r="V186" s="239"/>
      <c r="W186" s="240"/>
      <c r="X186" s="239">
        <v>459740</v>
      </c>
      <c r="Y186" s="240"/>
      <c r="Z186" s="240">
        <v>978170</v>
      </c>
      <c r="AA186" s="240"/>
      <c r="AB186" s="240">
        <v>322796</v>
      </c>
      <c r="AC186" s="240"/>
      <c r="AD186" s="240">
        <f t="shared" si="29"/>
        <v>2197293</v>
      </c>
      <c r="AE186" s="5"/>
      <c r="AF186" s="6"/>
      <c r="AJ186" s="6"/>
      <c r="AK186" s="6"/>
      <c r="AL186" s="6"/>
      <c r="AM186" s="6"/>
      <c r="AN186" s="6"/>
      <c r="AO186" s="6"/>
      <c r="AP186" s="6"/>
      <c r="AQ186" s="6"/>
    </row>
    <row r="187" spans="2:43" ht="13.5" customHeight="1" x14ac:dyDescent="0.2">
      <c r="C187" s="349" t="s">
        <v>295</v>
      </c>
      <c r="D187" s="84" t="s">
        <v>132</v>
      </c>
      <c r="F187" s="239">
        <f>'Exh E-1 actual pool'!D63</f>
        <v>2205282</v>
      </c>
      <c r="G187" s="239"/>
      <c r="H187" s="240"/>
      <c r="I187" s="240"/>
      <c r="J187" s="240">
        <f>+F187-H187</f>
        <v>2205282</v>
      </c>
      <c r="K187" s="240"/>
      <c r="L187" s="239"/>
      <c r="M187" s="240"/>
      <c r="N187" s="239"/>
      <c r="O187" s="240"/>
      <c r="P187" s="264">
        <f>'Exh E-1 actual pool'!N63</f>
        <v>1661889</v>
      </c>
      <c r="Q187" s="240"/>
      <c r="R187" s="239"/>
      <c r="S187" s="240"/>
      <c r="T187" s="239">
        <f>'Exh E-1 actual pool'!F67</f>
        <v>500</v>
      </c>
      <c r="U187" s="240"/>
      <c r="V187" s="239">
        <f>'Exh E-1 actual pool'!H67</f>
        <v>147282</v>
      </c>
      <c r="W187" s="240"/>
      <c r="X187" s="239"/>
      <c r="Y187" s="240"/>
      <c r="Z187" s="239">
        <f>'Exh E-1 actual pool'!J34+'Exh E-1 actual pool'!L34</f>
        <v>259331</v>
      </c>
      <c r="AA187" s="240"/>
      <c r="AB187" s="240">
        <f>'Exh E-1 actual pool'!J36+'Exh E-1 actual pool'!L36</f>
        <v>85580</v>
      </c>
      <c r="AC187" s="240"/>
      <c r="AD187" s="239">
        <f>'Exh E-1 actual pool'!J63+'Exh E-1 actual pool'!L63-Z187-AB187</f>
        <v>50700</v>
      </c>
      <c r="AE187" s="5"/>
      <c r="AF187" s="6"/>
      <c r="AJ187" s="6"/>
      <c r="AK187" s="6"/>
      <c r="AL187" s="6"/>
      <c r="AM187" s="6"/>
      <c r="AN187" s="6"/>
      <c r="AO187" s="6"/>
      <c r="AP187" s="6"/>
      <c r="AQ187" s="6"/>
    </row>
    <row r="188" spans="2:43" ht="13.5" customHeight="1" x14ac:dyDescent="0.2">
      <c r="D188" s="6" t="s">
        <v>172</v>
      </c>
      <c r="F188" s="239">
        <v>24426</v>
      </c>
      <c r="G188" s="239"/>
      <c r="H188" s="240"/>
      <c r="I188" s="240"/>
      <c r="J188" s="240">
        <f t="shared" si="30"/>
        <v>24426</v>
      </c>
      <c r="K188" s="240"/>
      <c r="L188" s="239"/>
      <c r="M188" s="240"/>
      <c r="N188" s="239"/>
      <c r="O188" s="240"/>
      <c r="P188" s="239"/>
      <c r="Q188" s="240"/>
      <c r="R188" s="239"/>
      <c r="S188" s="240"/>
      <c r="T188" s="239"/>
      <c r="U188" s="240"/>
      <c r="V188" s="239"/>
      <c r="W188" s="240"/>
      <c r="X188" s="239"/>
      <c r="Y188" s="240"/>
      <c r="Z188" s="240">
        <f>24426*0.25</f>
        <v>6106.5</v>
      </c>
      <c r="AA188" s="240"/>
      <c r="AB188" s="239">
        <f>Z188*0.33</f>
        <v>2015.145</v>
      </c>
      <c r="AC188" s="240"/>
      <c r="AD188" s="240">
        <f t="shared" ref="AD188:AD189" si="31">J188-SUM(L188:AB188)</f>
        <v>16304.355</v>
      </c>
      <c r="AE188" s="5"/>
      <c r="AF188" s="6"/>
      <c r="AJ188" s="6"/>
      <c r="AK188" s="6"/>
      <c r="AL188" s="6"/>
      <c r="AM188" s="6"/>
      <c r="AN188" s="6"/>
      <c r="AO188" s="6"/>
      <c r="AP188" s="6"/>
      <c r="AQ188" s="6"/>
    </row>
    <row r="189" spans="2:43" ht="13.5" customHeight="1" x14ac:dyDescent="0.2">
      <c r="D189" s="6" t="s">
        <v>186</v>
      </c>
      <c r="F189" s="239">
        <v>27589</v>
      </c>
      <c r="G189" s="239"/>
      <c r="H189" s="240"/>
      <c r="I189" s="240"/>
      <c r="J189" s="240">
        <f t="shared" si="30"/>
        <v>27589</v>
      </c>
      <c r="K189" s="240"/>
      <c r="L189" s="239"/>
      <c r="M189" s="240"/>
      <c r="N189" s="239"/>
      <c r="O189" s="240"/>
      <c r="P189" s="239"/>
      <c r="Q189" s="240"/>
      <c r="R189" s="239"/>
      <c r="S189" s="240"/>
      <c r="T189" s="239"/>
      <c r="U189" s="240"/>
      <c r="V189" s="239"/>
      <c r="W189" s="240"/>
      <c r="X189" s="239"/>
      <c r="Y189" s="240"/>
      <c r="Z189" s="240">
        <f>27589*0.25</f>
        <v>6897.25</v>
      </c>
      <c r="AA189" s="240"/>
      <c r="AB189" s="239">
        <f>Z189*0.33</f>
        <v>2276.0925000000002</v>
      </c>
      <c r="AC189" s="240"/>
      <c r="AD189" s="240">
        <f t="shared" si="31"/>
        <v>18415.657500000001</v>
      </c>
      <c r="AE189" s="5"/>
      <c r="AF189" s="6"/>
      <c r="AJ189" s="6"/>
      <c r="AK189" s="6"/>
      <c r="AL189" s="6"/>
      <c r="AM189" s="6"/>
      <c r="AN189" s="6"/>
      <c r="AO189" s="6"/>
      <c r="AP189" s="6"/>
      <c r="AQ189" s="6"/>
    </row>
    <row r="190" spans="2:43" ht="13.5" customHeight="1" x14ac:dyDescent="0.2">
      <c r="D190" s="6" t="s">
        <v>173</v>
      </c>
      <c r="F190" s="239">
        <v>20581</v>
      </c>
      <c r="G190" s="239"/>
      <c r="H190" s="240"/>
      <c r="I190" s="240"/>
      <c r="J190" s="240">
        <f t="shared" ref="J190" si="32">+F190-H190</f>
        <v>20581</v>
      </c>
      <c r="K190" s="240"/>
      <c r="L190" s="239"/>
      <c r="M190" s="240"/>
      <c r="N190" s="239"/>
      <c r="O190" s="240"/>
      <c r="P190" s="239"/>
      <c r="Q190" s="240"/>
      <c r="R190" s="239"/>
      <c r="S190" s="240"/>
      <c r="T190" s="239"/>
      <c r="U190" s="240"/>
      <c r="V190" s="239"/>
      <c r="W190" s="240"/>
      <c r="X190" s="239"/>
      <c r="Y190" s="240"/>
      <c r="Z190" s="240">
        <f>20581*0.25</f>
        <v>5145.25</v>
      </c>
      <c r="AA190" s="240"/>
      <c r="AB190" s="239">
        <f>Z190*0.33</f>
        <v>1697.9325000000001</v>
      </c>
      <c r="AC190" s="240"/>
      <c r="AD190" s="240">
        <f t="shared" ref="AD190" si="33">J190-SUM(L190:AB190)</f>
        <v>13737.817500000001</v>
      </c>
      <c r="AE190" s="5"/>
      <c r="AF190" s="6"/>
      <c r="AJ190" s="6"/>
      <c r="AK190" s="6"/>
      <c r="AL190" s="6"/>
      <c r="AM190" s="6"/>
      <c r="AN190" s="6"/>
      <c r="AO190" s="6"/>
      <c r="AP190" s="6"/>
      <c r="AQ190" s="6"/>
    </row>
    <row r="191" spans="2:43" ht="13.5" customHeight="1" x14ac:dyDescent="0.2">
      <c r="D191" s="6" t="s">
        <v>246</v>
      </c>
      <c r="F191" s="239">
        <v>11842440</v>
      </c>
      <c r="G191" s="239"/>
      <c r="H191" s="240"/>
      <c r="I191" s="240"/>
      <c r="J191" s="240">
        <f t="shared" si="30"/>
        <v>11842440</v>
      </c>
      <c r="K191" s="240"/>
      <c r="L191" s="239"/>
      <c r="M191" s="240"/>
      <c r="N191" s="239"/>
      <c r="O191" s="240"/>
      <c r="P191" s="239"/>
      <c r="Q191" s="240"/>
      <c r="R191" s="239">
        <v>11842440</v>
      </c>
      <c r="S191" s="414" t="s">
        <v>538</v>
      </c>
      <c r="T191" s="239"/>
      <c r="U191" s="240"/>
      <c r="V191" s="239"/>
      <c r="W191" s="240"/>
      <c r="X191" s="239"/>
      <c r="Y191" s="240"/>
      <c r="Z191" s="240"/>
      <c r="AA191" s="240"/>
      <c r="AB191" s="239"/>
      <c r="AC191" s="240"/>
      <c r="AD191" s="240"/>
      <c r="AE191" s="5"/>
      <c r="AF191" s="6"/>
      <c r="AJ191" s="6"/>
      <c r="AK191" s="6"/>
      <c r="AL191" s="6"/>
      <c r="AM191" s="6"/>
      <c r="AN191" s="6"/>
      <c r="AO191" s="6"/>
      <c r="AP191" s="6"/>
      <c r="AQ191" s="6"/>
    </row>
    <row r="192" spans="2:43" ht="13.5" customHeight="1" x14ac:dyDescent="0.2">
      <c r="F192" s="239"/>
      <c r="G192" s="239"/>
      <c r="H192" s="240"/>
      <c r="I192" s="240"/>
      <c r="J192" s="239"/>
      <c r="K192" s="240"/>
      <c r="L192" s="239"/>
      <c r="M192" s="240"/>
      <c r="N192" s="239"/>
      <c r="O192" s="240"/>
      <c r="P192" s="239"/>
      <c r="Q192" s="240"/>
      <c r="R192" s="239"/>
      <c r="S192" s="240"/>
      <c r="T192" s="239"/>
      <c r="U192" s="240"/>
      <c r="V192" s="239"/>
      <c r="W192" s="240"/>
      <c r="X192" s="239"/>
      <c r="Y192" s="240"/>
      <c r="Z192" s="239"/>
      <c r="AA192" s="240"/>
      <c r="AB192" s="239"/>
      <c r="AC192" s="240"/>
      <c r="AD192" s="239"/>
      <c r="AE192" s="5"/>
      <c r="AF192" s="6"/>
      <c r="AJ192" s="6"/>
      <c r="AK192" s="6"/>
      <c r="AL192" s="6"/>
      <c r="AM192" s="6"/>
      <c r="AN192" s="6"/>
      <c r="AO192" s="6"/>
      <c r="AP192" s="6"/>
      <c r="AQ192" s="6"/>
    </row>
    <row r="193" spans="1:43" ht="13.5" customHeight="1" x14ac:dyDescent="0.2">
      <c r="E193" s="91" t="s">
        <v>354</v>
      </c>
      <c r="F193" s="262">
        <f>SUM(F185:F192)</f>
        <v>18370318</v>
      </c>
      <c r="G193" s="240"/>
      <c r="H193" s="240"/>
      <c r="I193" s="240"/>
      <c r="J193" s="262">
        <f>SUM(J185:J192)</f>
        <v>18793318</v>
      </c>
      <c r="K193" s="240"/>
      <c r="L193" s="262">
        <f>SUM(L185:L191)</f>
        <v>85317</v>
      </c>
      <c r="M193" s="240"/>
      <c r="N193" s="262">
        <f>SUM(N185:N191)</f>
        <v>54872</v>
      </c>
      <c r="O193" s="240"/>
      <c r="P193" s="262">
        <f>SUM(P185:P191)</f>
        <v>1661889</v>
      </c>
      <c r="Q193" s="240"/>
      <c r="R193" s="262">
        <f>SUM(R185:R191)</f>
        <v>11973445</v>
      </c>
      <c r="S193" s="240"/>
      <c r="T193" s="262">
        <f>SUM(T185:T191)</f>
        <v>44307</v>
      </c>
      <c r="U193" s="240"/>
      <c r="V193" s="262">
        <f>SUM(V185:V191)</f>
        <v>147282</v>
      </c>
      <c r="W193" s="240"/>
      <c r="X193" s="262">
        <f>SUM(X185:X191)</f>
        <v>459740</v>
      </c>
      <c r="Y193" s="240"/>
      <c r="Z193" s="262">
        <f>SUM(Z185:Z191)</f>
        <v>1255650</v>
      </c>
      <c r="AA193" s="240"/>
      <c r="AB193" s="262">
        <f>SUM(AB184:AB191)</f>
        <v>414365.17000000004</v>
      </c>
      <c r="AC193" s="240"/>
      <c r="AD193" s="262">
        <f>SUM(AD184:AD191)</f>
        <v>2696450.83</v>
      </c>
      <c r="AE193" s="5"/>
      <c r="AF193" s="6"/>
      <c r="AJ193" s="6"/>
      <c r="AK193" s="6"/>
      <c r="AL193" s="6"/>
      <c r="AM193" s="6"/>
      <c r="AN193" s="6"/>
      <c r="AO193" s="6"/>
      <c r="AP193" s="6"/>
      <c r="AQ193" s="6"/>
    </row>
    <row r="194" spans="1:43" ht="13.5" customHeight="1" x14ac:dyDescent="0.2">
      <c r="F194" s="5"/>
      <c r="G194" s="5"/>
      <c r="H194" s="5"/>
      <c r="I194" s="5"/>
      <c r="J194" s="5"/>
      <c r="K194" s="5"/>
      <c r="L194" s="5"/>
      <c r="M194" s="5"/>
      <c r="N194" s="5"/>
      <c r="O194" s="5"/>
      <c r="P194" s="5"/>
      <c r="Q194" s="5"/>
      <c r="R194" s="5"/>
      <c r="S194" s="5"/>
      <c r="T194" s="5"/>
      <c r="U194" s="5"/>
      <c r="V194" s="5"/>
      <c r="W194" s="5"/>
      <c r="X194" s="5"/>
      <c r="Z194" s="5"/>
      <c r="AE194" s="5"/>
      <c r="AF194" s="6"/>
      <c r="AJ194" s="6"/>
      <c r="AK194" s="6"/>
      <c r="AL194" s="6"/>
      <c r="AM194" s="6"/>
      <c r="AN194" s="6"/>
      <c r="AO194" s="6"/>
      <c r="AP194" s="6"/>
      <c r="AQ194" s="6"/>
    </row>
    <row r="195" spans="1:43" ht="13.5" customHeight="1" thickBot="1" x14ac:dyDescent="0.25">
      <c r="B195" s="6" t="s">
        <v>391</v>
      </c>
      <c r="F195" s="238">
        <f>+F193+F182</f>
        <v>35455798</v>
      </c>
      <c r="G195" s="261"/>
      <c r="H195" s="261"/>
      <c r="I195" s="261"/>
      <c r="J195" s="238">
        <f>+J193+J182</f>
        <v>35455798</v>
      </c>
      <c r="K195" s="261"/>
      <c r="L195" s="238">
        <f>+L193+L182</f>
        <v>1474486</v>
      </c>
      <c r="M195" s="261"/>
      <c r="N195" s="238">
        <f>+N193+N182</f>
        <v>2086398</v>
      </c>
      <c r="O195" s="261"/>
      <c r="P195" s="238">
        <f>+P193+P182</f>
        <v>1661889</v>
      </c>
      <c r="Q195" s="261"/>
      <c r="R195" s="238">
        <f>+R193+R182</f>
        <v>12761691</v>
      </c>
      <c r="S195" s="261"/>
      <c r="T195" s="238">
        <f>+T193+T182</f>
        <v>44307</v>
      </c>
      <c r="U195" s="261"/>
      <c r="V195" s="238">
        <f>+V193+V182</f>
        <v>172282</v>
      </c>
      <c r="W195" s="283"/>
      <c r="X195" s="238">
        <f>+X193+X182</f>
        <v>1802275.36</v>
      </c>
      <c r="Y195" s="261"/>
      <c r="Z195" s="238">
        <f>+Z193+Z182</f>
        <v>4128315</v>
      </c>
      <c r="AA195" s="261"/>
      <c r="AB195" s="238">
        <f>+AB193+AB182</f>
        <v>1362345.1074999999</v>
      </c>
      <c r="AC195" s="261"/>
      <c r="AD195" s="238">
        <f>+AD193+AD182</f>
        <v>9961809.5324999988</v>
      </c>
      <c r="AE195" s="3"/>
      <c r="AF195" s="6"/>
      <c r="AJ195" s="6"/>
      <c r="AK195" s="6"/>
      <c r="AL195" s="6"/>
      <c r="AM195" s="6"/>
      <c r="AN195" s="6"/>
      <c r="AO195" s="6"/>
      <c r="AP195" s="6"/>
      <c r="AQ195" s="6"/>
    </row>
    <row r="196" spans="1:43" ht="13.5" customHeight="1" thickTop="1" x14ac:dyDescent="0.25">
      <c r="F196" s="5"/>
      <c r="G196" s="5"/>
      <c r="H196" s="5"/>
      <c r="I196" s="5"/>
      <c r="J196" s="5"/>
      <c r="K196" s="5"/>
      <c r="L196" s="5"/>
      <c r="M196" s="5"/>
      <c r="N196" s="5"/>
      <c r="O196" s="5"/>
      <c r="P196" s="5"/>
      <c r="Q196" s="5"/>
      <c r="R196" s="5"/>
      <c r="S196" s="5"/>
      <c r="T196" s="5"/>
      <c r="U196" s="5"/>
      <c r="V196" s="5"/>
      <c r="W196" s="3"/>
      <c r="X196" s="5"/>
      <c r="Z196" s="5"/>
      <c r="AB196" s="6"/>
      <c r="AD196" s="263">
        <f>+J195-SUM(L195:AD195)</f>
        <v>0</v>
      </c>
      <c r="AE196" s="290" t="s">
        <v>153</v>
      </c>
      <c r="AF196" s="6"/>
      <c r="AG196" s="6"/>
      <c r="AH196" s="6"/>
      <c r="AI196" s="6"/>
      <c r="AJ196" s="6"/>
      <c r="AK196" s="6"/>
      <c r="AL196" s="6"/>
      <c r="AM196" s="6"/>
      <c r="AN196" s="6"/>
      <c r="AO196" s="6"/>
      <c r="AP196" s="6"/>
      <c r="AQ196" s="6"/>
    </row>
    <row r="197" spans="1:43" ht="13.5" customHeight="1" x14ac:dyDescent="0.25">
      <c r="F197" s="5"/>
      <c r="G197" s="5"/>
      <c r="H197" s="5"/>
      <c r="I197" s="5"/>
      <c r="J197" s="5"/>
      <c r="K197" s="5"/>
      <c r="L197" s="57"/>
      <c r="M197" s="42"/>
      <c r="N197" s="57"/>
      <c r="O197" s="42"/>
      <c r="P197" s="42" t="s">
        <v>547</v>
      </c>
      <c r="Q197" s="42"/>
      <c r="R197" s="51"/>
      <c r="S197" s="42"/>
      <c r="T197" s="51"/>
      <c r="U197" s="42"/>
      <c r="X197" s="35" t="s">
        <v>160</v>
      </c>
      <c r="Y197" s="42"/>
      <c r="Z197" s="439" t="s">
        <v>330</v>
      </c>
      <c r="AA197" s="439"/>
      <c r="AB197" s="439"/>
      <c r="AC197" s="6"/>
      <c r="AD197" s="90" t="s">
        <v>388</v>
      </c>
      <c r="AF197" s="6"/>
      <c r="AG197" s="6"/>
      <c r="AH197" s="6"/>
      <c r="AI197" s="6"/>
      <c r="AJ197" s="6"/>
      <c r="AK197" s="6"/>
      <c r="AL197" s="6"/>
      <c r="AM197" s="6"/>
      <c r="AN197" s="6"/>
      <c r="AO197" s="6"/>
      <c r="AP197" s="6"/>
      <c r="AQ197" s="6"/>
    </row>
    <row r="198" spans="1:43" ht="13.5" customHeight="1" thickBot="1" x14ac:dyDescent="0.3">
      <c r="B198" s="6" t="s">
        <v>303</v>
      </c>
      <c r="F198" s="238">
        <f>F202+F195</f>
        <v>35455798</v>
      </c>
      <c r="G198" s="5"/>
      <c r="H198" s="5"/>
      <c r="I198" s="5"/>
      <c r="J198" s="5"/>
      <c r="K198" s="5"/>
      <c r="L198" s="51"/>
      <c r="M198" s="42"/>
      <c r="N198" s="51"/>
      <c r="O198" s="42"/>
      <c r="P198" s="42"/>
      <c r="Q198" s="42"/>
      <c r="R198" s="51"/>
      <c r="S198" s="42"/>
      <c r="T198" s="51"/>
      <c r="U198" s="42"/>
      <c r="V198" s="51"/>
      <c r="W198" s="57"/>
      <c r="X198" s="57"/>
      <c r="Y198" s="42"/>
      <c r="Z198" s="375" t="s">
        <v>472</v>
      </c>
      <c r="AA198" s="375"/>
      <c r="AB198" s="375" t="s">
        <v>544</v>
      </c>
      <c r="AC198" s="260"/>
      <c r="AD198" s="260" t="s">
        <v>213</v>
      </c>
      <c r="AE198" s="57"/>
      <c r="AF198" s="6"/>
      <c r="AG198" s="6"/>
      <c r="AH198" s="6"/>
      <c r="AI198" s="6"/>
      <c r="AJ198" s="6"/>
      <c r="AK198" s="6"/>
      <c r="AL198" s="6"/>
      <c r="AM198" s="6"/>
      <c r="AN198" s="6"/>
      <c r="AO198" s="6"/>
      <c r="AP198" s="6"/>
      <c r="AQ198" s="6"/>
    </row>
    <row r="199" spans="1:43" ht="9" customHeight="1" thickTop="1" x14ac:dyDescent="0.25">
      <c r="B199" s="5"/>
      <c r="C199" s="5"/>
      <c r="D199" s="5"/>
      <c r="E199" s="5"/>
      <c r="F199" s="5"/>
      <c r="G199" s="5"/>
      <c r="H199" s="5"/>
      <c r="I199" s="5"/>
      <c r="J199" s="5"/>
      <c r="K199" s="5"/>
      <c r="L199" s="51"/>
      <c r="M199" s="42"/>
      <c r="N199" s="51"/>
      <c r="O199" s="42"/>
      <c r="P199" s="51"/>
      <c r="Q199" s="42"/>
      <c r="R199" s="51"/>
      <c r="S199" s="42"/>
      <c r="T199" s="51"/>
      <c r="U199" s="42"/>
      <c r="V199" s="51"/>
      <c r="W199" s="42"/>
      <c r="X199" s="51"/>
      <c r="Y199" s="42"/>
      <c r="AA199" s="42"/>
      <c r="AB199" s="6"/>
      <c r="AC199" s="6"/>
      <c r="AD199" s="6"/>
      <c r="AF199" s="6"/>
      <c r="AG199" s="6"/>
      <c r="AH199" s="6"/>
      <c r="AI199" s="6"/>
      <c r="AJ199" s="6"/>
      <c r="AK199" s="6"/>
      <c r="AL199" s="6"/>
      <c r="AM199" s="6"/>
      <c r="AN199" s="6"/>
      <c r="AO199" s="6"/>
      <c r="AP199" s="6"/>
      <c r="AQ199" s="6"/>
    </row>
    <row r="200" spans="1:43" ht="13.5" customHeight="1" x14ac:dyDescent="0.25">
      <c r="B200" s="5"/>
      <c r="C200" s="5"/>
      <c r="D200" s="5"/>
      <c r="E200" s="5"/>
      <c r="F200" s="35" t="s">
        <v>160</v>
      </c>
      <c r="G200" s="5"/>
      <c r="H200" s="5"/>
      <c r="I200" s="5"/>
      <c r="J200" s="5"/>
      <c r="K200" s="5"/>
      <c r="L200" s="51"/>
      <c r="M200" s="42"/>
      <c r="N200" s="51"/>
      <c r="O200" s="42"/>
      <c r="P200" s="51"/>
      <c r="Q200" s="42"/>
      <c r="R200" s="51"/>
      <c r="S200" s="42"/>
      <c r="T200" s="51"/>
      <c r="U200" s="42"/>
      <c r="V200" s="51"/>
      <c r="W200" s="42"/>
      <c r="X200" s="51"/>
      <c r="Y200" s="42"/>
      <c r="Z200" s="237">
        <f>9181431*0.25</f>
        <v>2295357.75</v>
      </c>
      <c r="AA200" s="42"/>
      <c r="AB200" s="240">
        <f>Z200*0.33</f>
        <v>757468.0575</v>
      </c>
      <c r="AC200" s="6"/>
      <c r="AD200" s="6" t="s">
        <v>536</v>
      </c>
      <c r="AE200" s="42"/>
      <c r="AF200" s="6"/>
      <c r="AG200" s="6"/>
      <c r="AH200" s="6"/>
      <c r="AI200" s="6"/>
      <c r="AJ200" s="6"/>
      <c r="AK200" s="6"/>
      <c r="AL200" s="6"/>
      <c r="AM200" s="6"/>
      <c r="AN200" s="6"/>
      <c r="AO200" s="6"/>
      <c r="AP200" s="6"/>
      <c r="AQ200" s="6"/>
    </row>
    <row r="201" spans="1:43" ht="13.5" customHeight="1" x14ac:dyDescent="0.25">
      <c r="B201" s="5"/>
      <c r="C201" s="5"/>
      <c r="D201" s="5"/>
      <c r="E201" s="5"/>
      <c r="F201" s="35" t="s">
        <v>191</v>
      </c>
      <c r="G201" s="5"/>
      <c r="H201" s="5"/>
      <c r="I201" s="5"/>
      <c r="J201" s="5"/>
      <c r="K201" s="5"/>
      <c r="M201" s="111"/>
      <c r="N201" s="111"/>
      <c r="O201" s="111"/>
      <c r="P201" s="111"/>
      <c r="Q201" s="111"/>
      <c r="R201" s="40" t="s">
        <v>548</v>
      </c>
      <c r="S201" s="111"/>
      <c r="T201" s="111"/>
      <c r="U201" s="111"/>
      <c r="V201" s="111"/>
      <c r="W201" s="152"/>
      <c r="X201" s="152"/>
      <c r="Y201" s="2"/>
      <c r="Z201" s="239">
        <v>0</v>
      </c>
      <c r="AA201" s="2"/>
      <c r="AB201" s="239">
        <v>0</v>
      </c>
      <c r="AC201" s="6"/>
      <c r="AD201" s="6"/>
      <c r="AE201" s="42"/>
      <c r="AF201" s="6"/>
      <c r="AG201" s="6"/>
      <c r="AH201" s="6"/>
      <c r="AI201" s="6"/>
      <c r="AJ201" s="6"/>
      <c r="AK201" s="6"/>
      <c r="AL201" s="6"/>
      <c r="AM201" s="6"/>
      <c r="AN201" s="6"/>
      <c r="AO201" s="6"/>
      <c r="AP201" s="6"/>
      <c r="AQ201" s="6"/>
    </row>
    <row r="202" spans="1:43" ht="13.5" customHeight="1" x14ac:dyDescent="0.2">
      <c r="B202" s="5"/>
      <c r="C202" s="5"/>
      <c r="D202" s="5"/>
      <c r="E202" s="3"/>
      <c r="F202" s="5"/>
      <c r="G202" s="5"/>
      <c r="H202" s="5"/>
      <c r="I202" s="5"/>
      <c r="J202" s="5"/>
      <c r="K202" s="5"/>
      <c r="Y202" s="6"/>
      <c r="Z202" s="239">
        <v>0</v>
      </c>
      <c r="AA202" s="6"/>
      <c r="AB202" s="239">
        <v>0</v>
      </c>
      <c r="AC202" s="6"/>
      <c r="AD202" s="6"/>
      <c r="AE202" s="152"/>
      <c r="AF202" s="6"/>
      <c r="AG202" s="6"/>
      <c r="AH202" s="6"/>
      <c r="AI202" s="6"/>
      <c r="AJ202" s="6"/>
      <c r="AK202" s="6"/>
      <c r="AL202" s="6"/>
      <c r="AM202" s="6"/>
      <c r="AN202" s="6"/>
      <c r="AO202" s="6"/>
      <c r="AP202" s="6"/>
      <c r="AQ202" s="6"/>
    </row>
    <row r="203" spans="1:43" ht="13.5" customHeight="1" x14ac:dyDescent="0.2">
      <c r="F203" s="5"/>
      <c r="G203" s="5"/>
      <c r="H203" s="5"/>
      <c r="I203" s="5"/>
      <c r="J203" s="5"/>
      <c r="K203" s="5"/>
      <c r="Y203" s="6"/>
      <c r="Z203" s="239">
        <v>0</v>
      </c>
      <c r="AA203" s="6"/>
      <c r="AB203" s="239">
        <v>0</v>
      </c>
      <c r="AC203" s="6"/>
      <c r="AD203" s="6"/>
      <c r="AF203" s="6"/>
      <c r="AG203" s="6"/>
      <c r="AH203" s="6"/>
      <c r="AI203" s="6"/>
      <c r="AJ203" s="6"/>
      <c r="AK203" s="6"/>
      <c r="AL203" s="6"/>
      <c r="AM203" s="6"/>
      <c r="AN203" s="6"/>
      <c r="AO203" s="6"/>
      <c r="AP203" s="6"/>
      <c r="AQ203" s="6"/>
    </row>
    <row r="204" spans="1:43" ht="14.25" customHeight="1" x14ac:dyDescent="0.2">
      <c r="G204" s="5"/>
      <c r="H204" s="5"/>
      <c r="I204" s="5"/>
      <c r="J204" s="5"/>
      <c r="K204" s="5"/>
      <c r="L204" s="5"/>
      <c r="M204" s="5"/>
      <c r="N204" s="5"/>
      <c r="O204" s="5"/>
      <c r="P204" s="5"/>
      <c r="Q204" s="5"/>
      <c r="R204" s="5"/>
      <c r="S204" s="5"/>
      <c r="T204" s="5"/>
      <c r="U204" s="5"/>
      <c r="V204" s="5"/>
      <c r="W204" s="3"/>
      <c r="X204" s="5"/>
      <c r="Z204" s="239"/>
      <c r="AB204" s="239"/>
      <c r="AC204" s="6"/>
      <c r="AD204" s="6"/>
      <c r="AF204" s="6"/>
      <c r="AG204" s="6"/>
      <c r="AH204" s="6"/>
      <c r="AI204" s="6"/>
      <c r="AJ204" s="6"/>
      <c r="AK204" s="6"/>
      <c r="AL204" s="6"/>
      <c r="AM204" s="6"/>
      <c r="AN204" s="6"/>
      <c r="AO204" s="6"/>
      <c r="AP204" s="6"/>
      <c r="AQ204" s="6"/>
    </row>
    <row r="205" spans="1:43" ht="15" customHeight="1" thickBot="1" x14ac:dyDescent="0.3">
      <c r="F205" s="5"/>
      <c r="G205" s="5"/>
      <c r="H205" s="5"/>
      <c r="I205" s="5"/>
      <c r="J205" s="5"/>
      <c r="K205" s="5"/>
      <c r="L205" s="5"/>
      <c r="M205" s="5"/>
      <c r="N205" s="5"/>
      <c r="O205" s="5"/>
      <c r="P205" s="5"/>
      <c r="Q205" s="5"/>
      <c r="R205" s="5"/>
      <c r="S205" s="5"/>
      <c r="T205" s="5"/>
      <c r="U205" s="5"/>
      <c r="V205" s="5"/>
      <c r="W205" s="3"/>
      <c r="X205" s="128" t="s">
        <v>331</v>
      </c>
      <c r="Z205" s="238">
        <f>SUM(Z200:Z204)</f>
        <v>2295357.75</v>
      </c>
      <c r="AB205" s="238">
        <f>SUM(AB200:AB204)</f>
        <v>757468.0575</v>
      </c>
      <c r="AC205" s="6"/>
      <c r="AD205" s="6"/>
      <c r="AE205" s="3"/>
      <c r="AF205" s="6"/>
      <c r="AG205" s="6"/>
      <c r="AH205" s="6"/>
      <c r="AI205" s="6"/>
      <c r="AJ205" s="6"/>
      <c r="AK205" s="6"/>
      <c r="AL205" s="6"/>
      <c r="AM205" s="6"/>
      <c r="AN205" s="6"/>
      <c r="AO205" s="6"/>
      <c r="AP205" s="6"/>
      <c r="AQ205" s="6"/>
    </row>
    <row r="206" spans="1:43" ht="13.5" customHeight="1" thickTop="1" x14ac:dyDescent="0.25">
      <c r="A206" s="71" t="s">
        <v>56</v>
      </c>
      <c r="B206" s="71"/>
      <c r="C206" s="71"/>
      <c r="D206" s="71"/>
      <c r="E206" s="71"/>
      <c r="F206" s="29"/>
      <c r="G206" s="29"/>
      <c r="H206" s="29"/>
      <c r="I206" s="29"/>
      <c r="J206" s="29"/>
      <c r="K206" s="29"/>
      <c r="L206" s="58"/>
      <c r="M206" s="58"/>
      <c r="N206" s="58"/>
      <c r="O206" s="58"/>
      <c r="P206" s="58"/>
      <c r="Q206" s="58"/>
      <c r="R206" s="58"/>
      <c r="S206" s="58"/>
      <c r="T206" s="58"/>
      <c r="U206" s="58"/>
      <c r="V206" s="58"/>
      <c r="W206" s="58"/>
      <c r="X206" s="58"/>
      <c r="Y206" s="29"/>
      <c r="Z206" s="29"/>
      <c r="AA206" s="29"/>
      <c r="AC206" s="29"/>
      <c r="AE206" s="58"/>
      <c r="AG206" s="29"/>
    </row>
    <row r="207" spans="1:43" ht="34.9" customHeight="1" x14ac:dyDescent="0.25">
      <c r="A207" s="86"/>
      <c r="B207" s="86"/>
      <c r="C207" s="29"/>
      <c r="D207" s="441" t="s">
        <v>299</v>
      </c>
      <c r="E207" s="441"/>
      <c r="F207" s="441"/>
      <c r="G207" s="441"/>
      <c r="H207" s="441"/>
      <c r="I207" s="441"/>
      <c r="J207" s="441"/>
      <c r="K207" s="441"/>
      <c r="L207" s="441"/>
      <c r="M207" s="441"/>
      <c r="N207" s="441"/>
      <c r="O207" s="247"/>
      <c r="P207" s="247"/>
      <c r="Q207" s="247"/>
      <c r="R207" s="247"/>
      <c r="S207" s="247"/>
      <c r="T207" s="247"/>
      <c r="U207" s="59"/>
      <c r="V207" s="59"/>
      <c r="W207" s="30"/>
      <c r="X207" s="30"/>
      <c r="Y207" s="31"/>
      <c r="Z207" s="29"/>
      <c r="AA207" s="31"/>
      <c r="AC207" s="31"/>
      <c r="AE207" s="30"/>
      <c r="AG207" s="29"/>
    </row>
    <row r="208" spans="1:43" ht="15" customHeight="1" x14ac:dyDescent="0.25">
      <c r="A208" s="86"/>
      <c r="B208" s="86"/>
      <c r="C208" s="29"/>
      <c r="D208" s="230"/>
      <c r="E208" s="230"/>
      <c r="F208" s="230"/>
      <c r="G208" s="230"/>
      <c r="H208" s="230"/>
      <c r="I208" s="230"/>
      <c r="J208" s="230"/>
      <c r="K208" s="230"/>
      <c r="L208" s="230"/>
      <c r="M208" s="230"/>
      <c r="N208" s="230"/>
      <c r="O208" s="230"/>
      <c r="P208" s="230"/>
      <c r="Q208" s="59"/>
      <c r="R208" s="59"/>
      <c r="S208" s="59"/>
      <c r="T208" s="59"/>
      <c r="U208" s="59"/>
      <c r="V208" s="59"/>
      <c r="W208" s="30"/>
      <c r="X208" s="30"/>
      <c r="Y208" s="31"/>
      <c r="Z208" s="29"/>
      <c r="AA208" s="31"/>
      <c r="AC208" s="31"/>
      <c r="AE208" s="30"/>
      <c r="AG208" s="29"/>
    </row>
    <row r="209" spans="1:43" ht="34.5" customHeight="1" x14ac:dyDescent="0.25">
      <c r="A209" s="86"/>
      <c r="B209" s="86"/>
      <c r="C209" s="29"/>
      <c r="D209" s="441" t="s">
        <v>289</v>
      </c>
      <c r="E209" s="441"/>
      <c r="F209" s="441"/>
      <c r="G209" s="441"/>
      <c r="H209" s="441"/>
      <c r="I209" s="441"/>
      <c r="J209" s="441"/>
      <c r="K209" s="441"/>
      <c r="L209" s="441"/>
      <c r="M209" s="441"/>
      <c r="N209" s="441"/>
      <c r="O209" s="233"/>
      <c r="P209" s="233"/>
      <c r="Q209" s="59"/>
      <c r="R209" s="59"/>
      <c r="S209" s="59"/>
      <c r="T209" s="59"/>
      <c r="U209" s="59"/>
      <c r="V209" s="59"/>
      <c r="W209" s="30"/>
      <c r="X209" s="30"/>
      <c r="Y209" s="31"/>
      <c r="Z209" s="29"/>
      <c r="AA209" s="31"/>
      <c r="AC209" s="31"/>
      <c r="AE209" s="30"/>
      <c r="AG209" s="29"/>
    </row>
    <row r="210" spans="1:43" ht="15" customHeight="1" x14ac:dyDescent="0.25">
      <c r="A210" s="86"/>
      <c r="B210" s="86"/>
      <c r="C210" s="29"/>
      <c r="D210" s="218"/>
      <c r="E210" s="218"/>
      <c r="F210" s="218"/>
      <c r="G210" s="218"/>
      <c r="H210" s="218"/>
      <c r="I210" s="218"/>
      <c r="J210" s="218"/>
      <c r="K210" s="218"/>
      <c r="L210" s="218"/>
      <c r="M210" s="218"/>
      <c r="N210" s="218"/>
      <c r="O210" s="218"/>
      <c r="P210" s="218"/>
      <c r="Q210" s="59"/>
      <c r="R210" s="59"/>
      <c r="S210" s="59"/>
      <c r="T210" s="59"/>
      <c r="U210" s="59"/>
      <c r="V210" s="59"/>
      <c r="W210" s="30"/>
      <c r="X210" s="30"/>
      <c r="Y210" s="31"/>
      <c r="Z210" s="29"/>
      <c r="AA210" s="31"/>
      <c r="AC210" s="31"/>
      <c r="AE210" s="30"/>
      <c r="AG210" s="29"/>
    </row>
    <row r="211" spans="1:43" ht="52.5" customHeight="1" x14ac:dyDescent="0.25">
      <c r="A211" s="29"/>
      <c r="B211" s="29"/>
      <c r="C211" s="29"/>
      <c r="D211" s="441" t="s">
        <v>290</v>
      </c>
      <c r="E211" s="441"/>
      <c r="F211" s="441"/>
      <c r="G211" s="441"/>
      <c r="H211" s="441"/>
      <c r="I211" s="441"/>
      <c r="J211" s="441"/>
      <c r="K211" s="441"/>
      <c r="L211" s="441"/>
      <c r="M211" s="441"/>
      <c r="N211" s="441"/>
      <c r="O211" s="247"/>
      <c r="P211" s="247"/>
      <c r="Q211" s="63"/>
      <c r="R211" s="63"/>
      <c r="S211" s="63"/>
      <c r="T211" s="63"/>
      <c r="U211" s="63"/>
      <c r="V211" s="63"/>
      <c r="W211" s="63"/>
      <c r="X211" s="63"/>
      <c r="Y211" s="63"/>
      <c r="Z211" s="63"/>
      <c r="AA211" s="63"/>
      <c r="AC211" s="63"/>
      <c r="AE211" s="63"/>
      <c r="AG211" s="29"/>
    </row>
    <row r="212" spans="1:43" ht="15" customHeight="1" x14ac:dyDescent="0.25">
      <c r="A212" s="29"/>
      <c r="B212" s="29"/>
      <c r="C212" s="29"/>
      <c r="D212" s="230"/>
      <c r="E212" s="230"/>
      <c r="F212" s="230"/>
      <c r="G212" s="230"/>
      <c r="H212" s="230"/>
      <c r="I212" s="230"/>
      <c r="J212" s="230"/>
      <c r="K212" s="230"/>
      <c r="L212" s="230"/>
      <c r="M212" s="230"/>
      <c r="N212" s="230"/>
      <c r="O212" s="230"/>
      <c r="P212" s="230"/>
      <c r="Q212" s="32"/>
      <c r="R212" s="32"/>
      <c r="S212" s="32"/>
      <c r="T212" s="32"/>
      <c r="U212" s="32"/>
      <c r="V212" s="32"/>
      <c r="W212" s="32"/>
      <c r="X212" s="32"/>
      <c r="Y212" s="29"/>
      <c r="Z212" s="29"/>
      <c r="AA212" s="29"/>
      <c r="AC212" s="29"/>
      <c r="AE212" s="32"/>
      <c r="AG212" s="29"/>
    </row>
    <row r="213" spans="1:43" ht="34.9" customHeight="1" x14ac:dyDescent="0.25">
      <c r="A213" s="29"/>
      <c r="B213" s="29"/>
      <c r="C213" s="29"/>
      <c r="D213" s="441" t="s">
        <v>539</v>
      </c>
      <c r="E213" s="441"/>
      <c r="F213" s="441"/>
      <c r="G213" s="441"/>
      <c r="H213" s="441"/>
      <c r="I213" s="441"/>
      <c r="J213" s="441"/>
      <c r="K213" s="441"/>
      <c r="L213" s="441"/>
      <c r="M213" s="441"/>
      <c r="N213" s="441"/>
      <c r="O213" s="231"/>
      <c r="P213" s="231"/>
      <c r="Q213" s="31"/>
      <c r="R213" s="31"/>
      <c r="S213" s="31"/>
      <c r="T213" s="31"/>
      <c r="U213" s="31"/>
      <c r="V213" s="31"/>
      <c r="W213" s="31"/>
      <c r="X213" s="31"/>
      <c r="Y213" s="31"/>
      <c r="Z213" s="31"/>
      <c r="AA213" s="31"/>
      <c r="AB213" s="6"/>
      <c r="AC213" s="31"/>
      <c r="AD213" s="6"/>
      <c r="AE213" s="31"/>
      <c r="AF213" s="6"/>
      <c r="AG213" s="2"/>
      <c r="AH213" s="6"/>
      <c r="AI213" s="6"/>
      <c r="AJ213" s="6"/>
      <c r="AK213" s="6"/>
      <c r="AL213" s="6"/>
      <c r="AM213" s="6"/>
      <c r="AN213" s="6"/>
      <c r="AO213" s="6"/>
      <c r="AP213" s="6"/>
      <c r="AQ213" s="6"/>
    </row>
    <row r="214" spans="1:43" ht="15" customHeight="1" x14ac:dyDescent="0.25">
      <c r="A214" s="52"/>
      <c r="B214" s="52"/>
      <c r="C214" s="52"/>
      <c r="D214" s="230"/>
      <c r="E214" s="230"/>
      <c r="F214" s="230"/>
      <c r="G214" s="230"/>
      <c r="H214" s="230"/>
      <c r="I214" s="230"/>
      <c r="J214" s="230"/>
      <c r="K214" s="230"/>
      <c r="L214" s="230"/>
      <c r="M214" s="230"/>
      <c r="N214" s="230"/>
      <c r="O214" s="230"/>
      <c r="P214" s="230"/>
      <c r="Q214" s="52"/>
      <c r="R214" s="52"/>
      <c r="S214" s="52"/>
      <c r="T214" s="52"/>
      <c r="U214" s="52"/>
      <c r="V214" s="52"/>
      <c r="W214" s="52"/>
      <c r="X214" s="52"/>
      <c r="Y214" s="52"/>
      <c r="Z214" s="52"/>
      <c r="AA214" s="52"/>
      <c r="AB214" s="6"/>
      <c r="AC214" s="52"/>
      <c r="AD214" s="6"/>
      <c r="AE214" s="52"/>
      <c r="AF214" s="6"/>
      <c r="AG214" s="2"/>
      <c r="AH214" s="6"/>
      <c r="AI214" s="6"/>
      <c r="AJ214" s="6"/>
      <c r="AK214" s="6"/>
      <c r="AL214" s="6"/>
      <c r="AM214" s="6"/>
      <c r="AN214" s="6"/>
      <c r="AO214" s="6"/>
      <c r="AP214" s="6"/>
      <c r="AQ214" s="6"/>
    </row>
    <row r="215" spans="1:43" ht="34.9" customHeight="1" x14ac:dyDescent="0.25">
      <c r="A215" s="29"/>
      <c r="B215" s="29"/>
      <c r="C215" s="29"/>
      <c r="D215" s="441" t="s">
        <v>291</v>
      </c>
      <c r="E215" s="441"/>
      <c r="F215" s="441"/>
      <c r="G215" s="441"/>
      <c r="H215" s="441"/>
      <c r="I215" s="441"/>
      <c r="J215" s="441"/>
      <c r="K215" s="441"/>
      <c r="L215" s="441"/>
      <c r="M215" s="441"/>
      <c r="N215" s="441"/>
      <c r="O215" s="231"/>
      <c r="P215" s="231"/>
      <c r="Q215" s="32"/>
      <c r="R215" s="32"/>
      <c r="S215" s="32"/>
      <c r="T215" s="32"/>
      <c r="U215" s="32"/>
      <c r="V215" s="32"/>
      <c r="W215" s="32"/>
      <c r="X215" s="32"/>
      <c r="Y215" s="29"/>
      <c r="Z215" s="29"/>
      <c r="AA215" s="29"/>
      <c r="AB215" s="6"/>
      <c r="AC215" s="29"/>
      <c r="AD215" s="6"/>
      <c r="AE215" s="32"/>
      <c r="AF215" s="6"/>
      <c r="AG215" s="2"/>
      <c r="AH215" s="6"/>
      <c r="AI215" s="6"/>
      <c r="AJ215" s="6"/>
      <c r="AK215" s="6"/>
      <c r="AL215" s="6"/>
      <c r="AM215" s="6"/>
      <c r="AN215" s="6"/>
      <c r="AO215" s="6"/>
      <c r="AP215" s="6"/>
      <c r="AQ215" s="6"/>
    </row>
    <row r="216" spans="1:43" ht="15" customHeight="1" x14ac:dyDescent="0.25">
      <c r="A216" s="29"/>
      <c r="B216" s="29"/>
      <c r="C216" s="29"/>
      <c r="D216" s="230"/>
      <c r="E216" s="230"/>
      <c r="F216" s="230"/>
      <c r="G216" s="230"/>
      <c r="H216" s="230"/>
      <c r="I216" s="230"/>
      <c r="J216" s="230"/>
      <c r="K216" s="230"/>
      <c r="L216" s="230"/>
      <c r="M216" s="230"/>
      <c r="N216" s="230"/>
      <c r="O216" s="230"/>
      <c r="P216" s="230"/>
      <c r="Q216" s="32"/>
      <c r="R216" s="32"/>
      <c r="S216" s="32"/>
      <c r="T216" s="32"/>
      <c r="U216" s="32"/>
      <c r="V216" s="32"/>
      <c r="W216" s="32"/>
      <c r="X216" s="32"/>
      <c r="Y216" s="29"/>
      <c r="Z216" s="29"/>
      <c r="AA216" s="29"/>
      <c r="AB216" s="6"/>
      <c r="AC216" s="29"/>
      <c r="AD216" s="6"/>
      <c r="AE216" s="32"/>
      <c r="AF216" s="6"/>
      <c r="AG216" s="2"/>
      <c r="AH216" s="6"/>
      <c r="AI216" s="6"/>
      <c r="AJ216" s="6"/>
      <c r="AK216" s="6"/>
      <c r="AL216" s="6"/>
      <c r="AM216" s="6"/>
      <c r="AN216" s="6"/>
      <c r="AO216" s="6"/>
      <c r="AP216" s="6"/>
      <c r="AQ216" s="6"/>
    </row>
    <row r="217" spans="1:43" ht="34.9" customHeight="1" x14ac:dyDescent="0.25">
      <c r="A217" s="29"/>
      <c r="B217" s="29"/>
      <c r="C217" s="29"/>
      <c r="D217" s="441" t="s">
        <v>292</v>
      </c>
      <c r="E217" s="441"/>
      <c r="F217" s="441"/>
      <c r="G217" s="441"/>
      <c r="H217" s="441"/>
      <c r="I217" s="441"/>
      <c r="J217" s="441"/>
      <c r="K217" s="441"/>
      <c r="L217" s="441"/>
      <c r="M217" s="441"/>
      <c r="N217" s="441"/>
      <c r="O217" s="231"/>
      <c r="P217" s="231"/>
      <c r="Q217" s="32"/>
      <c r="R217" s="32"/>
      <c r="S217" s="32"/>
      <c r="T217" s="32"/>
      <c r="U217" s="32"/>
      <c r="V217" s="32"/>
      <c r="W217" s="32"/>
      <c r="X217" s="32"/>
      <c r="Y217" s="29"/>
      <c r="Z217" s="29"/>
      <c r="AA217" s="29"/>
      <c r="AB217" s="6"/>
      <c r="AC217" s="29"/>
      <c r="AD217" s="6"/>
      <c r="AE217" s="32"/>
      <c r="AF217" s="6"/>
      <c r="AG217" s="2"/>
      <c r="AH217" s="6"/>
      <c r="AI217" s="6"/>
      <c r="AJ217" s="6"/>
      <c r="AK217" s="6"/>
      <c r="AL217" s="6"/>
      <c r="AM217" s="6"/>
      <c r="AN217" s="6"/>
      <c r="AO217" s="6"/>
      <c r="AP217" s="6"/>
      <c r="AQ217" s="6"/>
    </row>
    <row r="218" spans="1:43" ht="15" customHeight="1" x14ac:dyDescent="0.25">
      <c r="A218" s="29"/>
      <c r="B218" s="29"/>
      <c r="C218" s="29"/>
      <c r="D218" s="230"/>
      <c r="E218" s="230"/>
      <c r="F218" s="230"/>
      <c r="G218" s="230"/>
      <c r="H218" s="230"/>
      <c r="I218" s="230"/>
      <c r="J218" s="230"/>
      <c r="K218" s="230"/>
      <c r="L218" s="230"/>
      <c r="M218" s="230"/>
      <c r="N218" s="230"/>
      <c r="O218" s="230"/>
      <c r="P218" s="230"/>
      <c r="Q218" s="32"/>
      <c r="R218" s="32"/>
      <c r="S218" s="32"/>
      <c r="T218" s="32"/>
      <c r="U218" s="32"/>
      <c r="V218" s="32"/>
      <c r="W218" s="32"/>
      <c r="X218" s="32"/>
      <c r="Y218" s="29"/>
      <c r="Z218" s="29"/>
      <c r="AA218" s="29"/>
      <c r="AB218" s="6"/>
      <c r="AC218" s="29"/>
      <c r="AD218" s="6"/>
      <c r="AE218" s="32"/>
      <c r="AF218" s="6"/>
      <c r="AG218" s="2"/>
      <c r="AH218" s="6"/>
      <c r="AI218" s="6"/>
      <c r="AJ218" s="6"/>
      <c r="AK218" s="6"/>
      <c r="AL218" s="6"/>
      <c r="AM218" s="6"/>
      <c r="AN218" s="6"/>
      <c r="AO218" s="6"/>
      <c r="AP218" s="6"/>
      <c r="AQ218" s="6"/>
    </row>
    <row r="219" spans="1:43" ht="63" customHeight="1" x14ac:dyDescent="0.25">
      <c r="A219" s="29"/>
      <c r="B219" s="29"/>
      <c r="C219" s="29"/>
      <c r="D219" s="435" t="s">
        <v>293</v>
      </c>
      <c r="E219" s="435"/>
      <c r="F219" s="435"/>
      <c r="G219" s="435"/>
      <c r="H219" s="435"/>
      <c r="I219" s="435"/>
      <c r="J219" s="435"/>
      <c r="K219" s="435"/>
      <c r="L219" s="435"/>
      <c r="M219" s="435"/>
      <c r="N219" s="435"/>
      <c r="O219" s="245"/>
      <c r="P219" s="245"/>
      <c r="Q219" s="94"/>
      <c r="R219" s="94"/>
      <c r="S219" s="94"/>
      <c r="T219" s="94"/>
      <c r="U219" s="94"/>
      <c r="V219" s="94"/>
      <c r="W219" s="94"/>
      <c r="X219" s="94"/>
      <c r="Y219" s="94"/>
      <c r="Z219" s="94"/>
      <c r="AA219" s="94"/>
      <c r="AB219" s="6"/>
      <c r="AC219" s="94"/>
      <c r="AD219" s="6"/>
      <c r="AE219" s="94"/>
      <c r="AF219" s="6"/>
      <c r="AG219" s="2"/>
      <c r="AH219" s="6"/>
      <c r="AI219" s="6"/>
      <c r="AJ219" s="6"/>
      <c r="AK219" s="6"/>
      <c r="AL219" s="6"/>
      <c r="AM219" s="6"/>
      <c r="AN219" s="6"/>
      <c r="AO219" s="6"/>
      <c r="AP219" s="6"/>
      <c r="AQ219" s="6"/>
    </row>
    <row r="220" spans="1:43" ht="13.5"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6"/>
      <c r="AC220" s="29"/>
      <c r="AD220" s="6"/>
      <c r="AE220" s="29"/>
      <c r="AF220" s="6"/>
      <c r="AG220" s="2"/>
      <c r="AH220" s="6"/>
      <c r="AI220" s="6"/>
      <c r="AJ220" s="6"/>
      <c r="AK220" s="6"/>
      <c r="AL220" s="6"/>
      <c r="AM220" s="6"/>
      <c r="AN220" s="6"/>
      <c r="AO220" s="6"/>
      <c r="AP220" s="6"/>
      <c r="AQ220" s="6"/>
    </row>
    <row r="221" spans="1:43" ht="48.75" customHeight="1" x14ac:dyDescent="0.25">
      <c r="A221" s="29"/>
      <c r="B221" s="29"/>
      <c r="C221" s="29"/>
      <c r="D221" s="441" t="s">
        <v>356</v>
      </c>
      <c r="E221" s="441"/>
      <c r="F221" s="441"/>
      <c r="G221" s="441"/>
      <c r="H221" s="441"/>
      <c r="I221" s="441"/>
      <c r="J221" s="441"/>
      <c r="K221" s="441"/>
      <c r="L221" s="441"/>
      <c r="M221" s="441"/>
      <c r="N221" s="441"/>
      <c r="O221" s="29"/>
      <c r="P221" s="29"/>
      <c r="Q221" s="29"/>
      <c r="R221" s="29"/>
      <c r="S221" s="29"/>
      <c r="T221" s="29"/>
      <c r="U221" s="29"/>
      <c r="V221" s="29"/>
      <c r="W221" s="29"/>
      <c r="X221" s="29"/>
      <c r="Y221" s="29"/>
      <c r="Z221" s="29"/>
      <c r="AA221" s="29"/>
      <c r="AB221" s="6"/>
      <c r="AC221" s="29"/>
      <c r="AD221" s="6"/>
      <c r="AE221" s="29"/>
      <c r="AF221" s="6"/>
      <c r="AG221" s="2"/>
      <c r="AH221" s="6"/>
      <c r="AI221" s="6"/>
      <c r="AJ221" s="6"/>
      <c r="AK221" s="6"/>
      <c r="AL221" s="6"/>
      <c r="AM221" s="6"/>
      <c r="AN221" s="6"/>
      <c r="AO221" s="6"/>
      <c r="AP221" s="6"/>
      <c r="AQ221" s="6"/>
    </row>
    <row r="222" spans="1:43" ht="13.5"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6"/>
      <c r="AC222" s="29"/>
      <c r="AD222" s="6"/>
      <c r="AE222" s="29"/>
      <c r="AF222" s="6"/>
      <c r="AG222" s="2"/>
      <c r="AH222" s="6"/>
      <c r="AI222" s="6"/>
      <c r="AJ222" s="6"/>
      <c r="AK222" s="6"/>
      <c r="AL222" s="6"/>
      <c r="AM222" s="6"/>
      <c r="AN222" s="6"/>
      <c r="AO222" s="6"/>
      <c r="AP222" s="6"/>
      <c r="AQ222" s="6"/>
    </row>
    <row r="223" spans="1:43" ht="33" customHeight="1" x14ac:dyDescent="0.25">
      <c r="A223" s="2"/>
      <c r="B223" s="2"/>
      <c r="C223" s="2"/>
      <c r="D223" s="440" t="s">
        <v>371</v>
      </c>
      <c r="E223" s="440"/>
      <c r="F223" s="440"/>
      <c r="G223" s="440"/>
      <c r="H223" s="440"/>
      <c r="I223" s="440"/>
      <c r="J223" s="440"/>
      <c r="K223" s="440"/>
      <c r="L223" s="440"/>
      <c r="M223" s="440"/>
      <c r="N223" s="440"/>
      <c r="O223" s="2"/>
      <c r="P223" s="2"/>
      <c r="Q223" s="2"/>
      <c r="R223" s="2"/>
      <c r="S223" s="2"/>
      <c r="T223" s="2"/>
      <c r="U223" s="2"/>
      <c r="V223" s="2"/>
      <c r="W223" s="2"/>
      <c r="X223" s="2"/>
      <c r="Y223" s="2"/>
      <c r="Z223" s="2"/>
      <c r="AA223" s="2"/>
      <c r="AB223" s="6"/>
      <c r="AC223" s="2"/>
      <c r="AD223" s="6"/>
      <c r="AE223" s="2"/>
      <c r="AF223" s="6"/>
      <c r="AG223" s="2"/>
      <c r="AH223" s="6"/>
      <c r="AI223" s="6"/>
      <c r="AJ223" s="6"/>
      <c r="AK223" s="6"/>
      <c r="AL223" s="6"/>
      <c r="AM223" s="6"/>
      <c r="AN223" s="6"/>
      <c r="AO223" s="6"/>
      <c r="AP223" s="6"/>
      <c r="AQ223" s="6"/>
    </row>
    <row r="224" spans="1:43"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6"/>
      <c r="AC224" s="2"/>
      <c r="AD224" s="6"/>
      <c r="AE224" s="2"/>
      <c r="AF224" s="6"/>
      <c r="AG224" s="2"/>
      <c r="AH224" s="6"/>
      <c r="AI224" s="6"/>
      <c r="AJ224" s="6"/>
      <c r="AK224" s="6"/>
      <c r="AL224" s="6"/>
      <c r="AM224" s="6"/>
      <c r="AN224" s="6"/>
      <c r="AO224" s="6"/>
      <c r="AP224" s="6"/>
      <c r="AQ224" s="6"/>
    </row>
    <row r="225" spans="1:43"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6"/>
      <c r="AC225" s="2"/>
      <c r="AD225" s="6"/>
      <c r="AE225" s="2"/>
      <c r="AF225" s="6"/>
      <c r="AG225" s="2"/>
      <c r="AH225" s="6"/>
      <c r="AI225" s="6"/>
      <c r="AJ225" s="6"/>
      <c r="AK225" s="6"/>
      <c r="AL225" s="6"/>
      <c r="AM225" s="6"/>
      <c r="AN225" s="6"/>
      <c r="AO225" s="6"/>
      <c r="AP225" s="6"/>
      <c r="AQ225" s="6"/>
    </row>
    <row r="226" spans="1:43" ht="13.5" customHeight="1" x14ac:dyDescent="0.25">
      <c r="A226" s="2"/>
      <c r="B226" s="2"/>
      <c r="C226" s="2"/>
      <c r="D226" s="2"/>
      <c r="E226" s="2"/>
      <c r="F226" s="2"/>
      <c r="G226" s="2"/>
      <c r="H226" s="2"/>
      <c r="I226" s="29"/>
      <c r="J226" s="2"/>
      <c r="K226" s="29"/>
      <c r="L226" s="2"/>
      <c r="M226" s="29"/>
      <c r="N226" s="2"/>
      <c r="O226" s="29"/>
      <c r="P226" s="2"/>
      <c r="Q226" s="29"/>
      <c r="R226" s="2"/>
      <c r="S226" s="29"/>
      <c r="T226" s="2"/>
      <c r="U226" s="29"/>
      <c r="V226" s="2"/>
      <c r="W226" s="29"/>
      <c r="X226" s="2"/>
      <c r="Y226" s="29"/>
      <c r="Z226" s="2"/>
      <c r="AA226" s="29"/>
      <c r="AB226" s="6"/>
      <c r="AC226" s="29"/>
      <c r="AD226" s="6"/>
      <c r="AE226" s="29"/>
      <c r="AF226" s="6"/>
      <c r="AG226" s="2"/>
      <c r="AH226" s="6"/>
      <c r="AI226" s="6"/>
      <c r="AJ226" s="6"/>
      <c r="AK226" s="6"/>
      <c r="AL226" s="6"/>
      <c r="AM226" s="6"/>
      <c r="AN226" s="6"/>
      <c r="AO226" s="6"/>
      <c r="AP226" s="6"/>
      <c r="AQ226" s="6"/>
    </row>
    <row r="227" spans="1:43" ht="13.5" customHeight="1" x14ac:dyDescent="0.25">
      <c r="A227" s="2"/>
      <c r="B227" s="2"/>
      <c r="C227" s="2"/>
      <c r="D227" s="2"/>
      <c r="E227" s="2"/>
      <c r="F227" s="2"/>
      <c r="G227" s="2"/>
      <c r="H227" s="2"/>
      <c r="I227" s="29"/>
      <c r="J227" s="2"/>
      <c r="K227" s="29"/>
      <c r="L227" s="2"/>
      <c r="M227" s="29"/>
      <c r="N227" s="2"/>
      <c r="O227" s="29"/>
      <c r="P227" s="2"/>
      <c r="Q227" s="29"/>
      <c r="R227" s="2"/>
      <c r="S227" s="29"/>
      <c r="T227" s="2"/>
      <c r="U227" s="29"/>
      <c r="V227" s="2"/>
      <c r="W227" s="29"/>
      <c r="X227" s="2"/>
      <c r="Y227" s="29"/>
      <c r="Z227" s="2"/>
      <c r="AA227" s="29"/>
      <c r="AB227" s="6"/>
      <c r="AC227" s="29"/>
      <c r="AD227" s="6"/>
      <c r="AE227" s="29"/>
      <c r="AF227" s="6"/>
      <c r="AG227" s="2"/>
      <c r="AH227" s="6"/>
      <c r="AI227" s="6"/>
      <c r="AJ227" s="6"/>
      <c r="AK227" s="6"/>
      <c r="AL227" s="6"/>
      <c r="AM227" s="6"/>
      <c r="AN227" s="6"/>
      <c r="AO227" s="6"/>
      <c r="AP227" s="6"/>
      <c r="AQ227" s="6"/>
    </row>
    <row r="228" spans="1:43" ht="13.5" customHeight="1" x14ac:dyDescent="0.25">
      <c r="A228" s="2"/>
      <c r="B228" s="2"/>
      <c r="C228" s="2"/>
      <c r="D228" s="2"/>
      <c r="E228" s="2"/>
      <c r="F228" s="2"/>
      <c r="G228" s="2"/>
      <c r="H228" s="2"/>
      <c r="I228" s="29"/>
      <c r="J228" s="2"/>
      <c r="K228" s="29"/>
      <c r="L228" s="2"/>
      <c r="M228" s="29"/>
      <c r="N228" s="2"/>
      <c r="O228" s="29"/>
      <c r="P228" s="2"/>
      <c r="Q228" s="29"/>
      <c r="R228" s="2"/>
      <c r="S228" s="29"/>
      <c r="T228" s="2"/>
      <c r="U228" s="29"/>
      <c r="V228" s="2"/>
      <c r="W228" s="29"/>
      <c r="X228" s="2"/>
      <c r="Y228" s="29"/>
      <c r="Z228" s="2"/>
      <c r="AA228" s="29"/>
      <c r="AB228" s="6"/>
      <c r="AC228" s="29"/>
      <c r="AD228" s="6"/>
      <c r="AE228" s="29"/>
      <c r="AF228" s="6"/>
      <c r="AG228" s="2"/>
      <c r="AH228" s="6"/>
      <c r="AI228" s="6"/>
      <c r="AJ228" s="6"/>
      <c r="AK228" s="6"/>
      <c r="AL228" s="6"/>
      <c r="AM228" s="6"/>
      <c r="AN228" s="6"/>
      <c r="AO228" s="6"/>
      <c r="AP228" s="6"/>
      <c r="AQ228" s="6"/>
    </row>
    <row r="229" spans="1:43" ht="13.5" customHeight="1" x14ac:dyDescent="0.25">
      <c r="A229" s="2"/>
      <c r="B229" s="2"/>
      <c r="C229" s="2"/>
      <c r="D229" s="2"/>
      <c r="E229" s="2"/>
      <c r="F229" s="2"/>
      <c r="G229" s="2"/>
      <c r="H229" s="2"/>
      <c r="I229" s="29"/>
      <c r="J229" s="2"/>
      <c r="K229" s="29"/>
      <c r="L229" s="2"/>
      <c r="M229" s="29"/>
      <c r="N229" s="2"/>
      <c r="O229" s="29"/>
      <c r="P229" s="2"/>
      <c r="Q229" s="29"/>
      <c r="R229" s="2"/>
      <c r="S229" s="29"/>
      <c r="T229" s="2"/>
      <c r="U229" s="29"/>
      <c r="V229" s="2"/>
      <c r="W229" s="29"/>
      <c r="X229" s="2"/>
      <c r="Y229" s="29"/>
      <c r="Z229" s="2"/>
      <c r="AA229" s="29"/>
      <c r="AB229" s="6"/>
      <c r="AC229" s="29"/>
      <c r="AD229" s="6"/>
      <c r="AE229" s="29"/>
      <c r="AF229" s="6"/>
      <c r="AG229" s="2"/>
      <c r="AH229" s="6"/>
      <c r="AI229" s="6"/>
      <c r="AJ229" s="6"/>
      <c r="AK229" s="6"/>
      <c r="AL229" s="6"/>
      <c r="AM229" s="6"/>
      <c r="AN229" s="6"/>
      <c r="AO229" s="6"/>
      <c r="AP229" s="6"/>
      <c r="AQ229" s="6"/>
    </row>
    <row r="230" spans="1:43"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9"/>
      <c r="Z230" s="2"/>
      <c r="AA230" s="29"/>
      <c r="AC230" s="29"/>
      <c r="AE230" s="2"/>
      <c r="AG230" s="29"/>
    </row>
    <row r="231" spans="1:43"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9"/>
      <c r="Z231" s="2"/>
      <c r="AA231" s="29"/>
      <c r="AC231" s="29"/>
      <c r="AE231" s="2"/>
      <c r="AG231" s="29"/>
    </row>
    <row r="232" spans="1:43"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9"/>
      <c r="Z232" s="2"/>
      <c r="AA232" s="29"/>
      <c r="AC232" s="29"/>
      <c r="AE232" s="2"/>
      <c r="AG232" s="29"/>
    </row>
    <row r="233" spans="1:43"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9"/>
      <c r="Z233" s="2"/>
      <c r="AA233" s="29"/>
      <c r="AC233" s="29"/>
      <c r="AE233" s="2"/>
      <c r="AG233" s="29"/>
    </row>
    <row r="234" spans="1:43" ht="1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9"/>
      <c r="Z234" s="2"/>
      <c r="AA234" s="29"/>
      <c r="AB234" s="6"/>
      <c r="AC234" s="29"/>
      <c r="AD234" s="6"/>
      <c r="AE234" s="2"/>
      <c r="AF234" s="6"/>
      <c r="AG234" s="2"/>
      <c r="AH234" s="6"/>
      <c r="AI234" s="6"/>
      <c r="AJ234" s="6"/>
      <c r="AK234" s="6"/>
      <c r="AL234" s="6"/>
      <c r="AM234" s="6"/>
      <c r="AN234" s="6"/>
      <c r="AO234" s="6"/>
      <c r="AP234" s="6"/>
      <c r="AQ234" s="6"/>
    </row>
    <row r="235" spans="1:43"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9"/>
      <c r="Z235" s="2"/>
      <c r="AA235" s="29"/>
      <c r="AC235" s="29"/>
      <c r="AE235" s="2"/>
      <c r="AG235" s="29"/>
    </row>
  </sheetData>
  <protectedRanges>
    <protectedRange sqref="J163:J164 K146:M147 K154:M155 K162:M164" name="Range15"/>
    <protectedRange sqref="K130:M130 J131 J139" name="Range14"/>
    <protectedRange sqref="J123 K122:M122" name="Range13"/>
    <protectedRange sqref="K138:M138" name="Range16"/>
    <protectedRange sqref="J75 K74:M74" name="Range6"/>
    <protectedRange sqref="AE200 AA199 L199:Y199" name="Range19"/>
    <protectedRange sqref="K186:K187" name="Range18"/>
  </protectedRanges>
  <mergeCells count="12">
    <mergeCell ref="Z3:AD3"/>
    <mergeCell ref="Z6:AD6"/>
    <mergeCell ref="Z197:AB197"/>
    <mergeCell ref="D223:N223"/>
    <mergeCell ref="D221:N221"/>
    <mergeCell ref="D209:N209"/>
    <mergeCell ref="D207:N207"/>
    <mergeCell ref="D211:N211"/>
    <mergeCell ref="D213:N213"/>
    <mergeCell ref="D215:N215"/>
    <mergeCell ref="D217:N217"/>
    <mergeCell ref="D219:N219"/>
  </mergeCells>
  <phoneticPr fontId="7" type="noConversion"/>
  <printOptions headings="1"/>
  <pageMargins left="0.25" right="0.5" top="0.75" bottom="0.75" header="0.5" footer="0.5"/>
  <pageSetup paperSize="5" scale="59" fitToHeight="7" orientation="landscape" r:id="rId1"/>
  <headerFooter alignWithMargins="0">
    <oddFooter>&amp;L&amp;F&amp;C&amp;A&amp;RUpdated: &amp;D</oddFooter>
  </headerFooter>
  <ignoredErrors>
    <ignoredError sqref="AD18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7" topLeftCell="A8" activePane="bottomLeft" state="frozen"/>
      <selection activeCell="A40" sqref="A40:Q40"/>
      <selection pane="bottomLeft" activeCell="A2" sqref="A2"/>
    </sheetView>
  </sheetViews>
  <sheetFormatPr defaultColWidth="8.85546875" defaultRowHeight="15" x14ac:dyDescent="0.25"/>
  <cols>
    <col min="1" max="1" width="10.7109375" style="163" customWidth="1"/>
    <col min="2" max="2" width="19.85546875" style="168" customWidth="1"/>
    <col min="3" max="3" width="1.28515625" style="168" customWidth="1"/>
    <col min="4" max="4" width="17.85546875" style="168" customWidth="1"/>
    <col min="5" max="5" width="1.140625" style="168" customWidth="1"/>
    <col min="6" max="6" width="18.42578125" style="168" customWidth="1"/>
    <col min="7" max="7" width="1.28515625" style="168" customWidth="1"/>
    <col min="8" max="8" width="19.28515625" style="168" customWidth="1"/>
    <col min="9" max="9" width="1.28515625" style="168" customWidth="1"/>
    <col min="10" max="10" width="20.28515625" style="168" customWidth="1"/>
    <col min="11" max="11" width="1" style="168" customWidth="1"/>
    <col min="12" max="12" width="21.140625" style="168" customWidth="1"/>
    <col min="13" max="13" width="18.7109375" style="168" customWidth="1"/>
    <col min="14" max="256" width="8.85546875" style="168"/>
    <col min="257" max="16384" width="8.85546875" style="163"/>
  </cols>
  <sheetData>
    <row r="1" spans="1:256" ht="15.75" x14ac:dyDescent="0.25">
      <c r="A1" s="420" t="str">
        <f>'start here-do not delete'!D29</f>
        <v>Sample Tribe</v>
      </c>
      <c r="B1" s="420"/>
      <c r="C1" s="162"/>
      <c r="D1" s="162"/>
      <c r="E1" s="162"/>
      <c r="F1" s="162"/>
      <c r="G1" s="162"/>
      <c r="H1" s="162"/>
      <c r="I1" s="162"/>
      <c r="J1" s="162"/>
      <c r="K1" s="162"/>
      <c r="L1" s="161" t="s">
        <v>215</v>
      </c>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row>
    <row r="2" spans="1:256" ht="15.75" x14ac:dyDescent="0.25">
      <c r="A2" s="165" t="str">
        <f>'start here-do not delete'!D31</f>
        <v>FY 2022</v>
      </c>
      <c r="B2" s="309" t="s">
        <v>212</v>
      </c>
      <c r="C2" s="309"/>
      <c r="D2" s="309"/>
      <c r="E2" s="309"/>
      <c r="F2" s="309"/>
      <c r="G2" s="164"/>
      <c r="H2" s="164"/>
      <c r="I2" s="164"/>
      <c r="J2" s="164"/>
      <c r="K2" s="164"/>
      <c r="L2" s="166"/>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row>
    <row r="3" spans="1:256" x14ac:dyDescent="0.25">
      <c r="A3" s="358" t="s">
        <v>294</v>
      </c>
      <c r="B3" s="358"/>
      <c r="C3" s="358"/>
      <c r="D3" s="358"/>
      <c r="E3" s="358"/>
      <c r="F3" s="358"/>
      <c r="G3" s="358"/>
      <c r="H3" s="358"/>
      <c r="I3" s="358"/>
      <c r="J3" s="358"/>
      <c r="K3" s="358"/>
      <c r="L3" s="358"/>
    </row>
    <row r="4" spans="1:256" x14ac:dyDescent="0.25">
      <c r="B4" s="167"/>
      <c r="C4" s="167"/>
      <c r="D4" s="167"/>
      <c r="E4" s="167"/>
      <c r="F4" s="167"/>
      <c r="G4" s="167"/>
      <c r="H4" s="167"/>
      <c r="I4" s="167"/>
      <c r="J4" s="167"/>
      <c r="K4" s="167"/>
      <c r="L4" s="167"/>
    </row>
    <row r="5" spans="1:256" x14ac:dyDescent="0.25">
      <c r="B5" s="167"/>
      <c r="C5" s="167"/>
      <c r="D5" s="169" t="s">
        <v>5</v>
      </c>
      <c r="E5" s="167"/>
      <c r="F5" s="169" t="s">
        <v>216</v>
      </c>
      <c r="G5" s="169"/>
      <c r="H5" s="169" t="s">
        <v>216</v>
      </c>
      <c r="I5" s="169"/>
      <c r="J5" s="169" t="s">
        <v>216</v>
      </c>
      <c r="K5" s="170"/>
      <c r="L5" s="169" t="s">
        <v>217</v>
      </c>
    </row>
    <row r="6" spans="1:256" ht="72.599999999999994" customHeight="1" thickBot="1" x14ac:dyDescent="0.3">
      <c r="B6" s="171" t="s">
        <v>213</v>
      </c>
      <c r="C6" s="171"/>
      <c r="D6" s="171" t="s">
        <v>444</v>
      </c>
      <c r="E6" s="171"/>
      <c r="F6" s="171" t="s">
        <v>224</v>
      </c>
      <c r="G6" s="171"/>
      <c r="H6" s="171" t="s">
        <v>232</v>
      </c>
      <c r="I6" s="171"/>
      <c r="J6" s="171" t="s">
        <v>445</v>
      </c>
      <c r="K6" s="172"/>
      <c r="L6" s="171" t="s">
        <v>446</v>
      </c>
      <c r="M6" s="163"/>
    </row>
    <row r="7" spans="1:256" x14ac:dyDescent="0.25">
      <c r="B7" s="167"/>
      <c r="C7" s="167"/>
      <c r="D7" s="167"/>
      <c r="E7" s="173"/>
      <c r="F7" s="167"/>
      <c r="G7" s="167"/>
      <c r="H7" s="167"/>
      <c r="I7" s="170"/>
      <c r="J7" s="167"/>
      <c r="K7" s="173"/>
      <c r="L7" s="169"/>
    </row>
    <row r="8" spans="1:256" s="183" customFormat="1" x14ac:dyDescent="0.25">
      <c r="B8" s="184" t="s">
        <v>8</v>
      </c>
      <c r="C8" s="184"/>
      <c r="D8" s="411">
        <v>136954</v>
      </c>
      <c r="E8" s="185"/>
      <c r="F8" s="160"/>
      <c r="G8" s="160"/>
      <c r="H8" s="160"/>
      <c r="I8" s="186"/>
      <c r="J8" s="160"/>
      <c r="K8" s="185"/>
      <c r="L8" s="160">
        <f t="shared" ref="L8:L15" si="0">D8-F8-H8-J8</f>
        <v>136954</v>
      </c>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c r="IT8" s="187"/>
      <c r="IU8" s="187"/>
      <c r="IV8" s="187"/>
    </row>
    <row r="9" spans="1:256" x14ac:dyDescent="0.25">
      <c r="B9" s="167" t="s">
        <v>13</v>
      </c>
      <c r="C9" s="167"/>
      <c r="D9" s="412">
        <v>27011</v>
      </c>
      <c r="E9" s="174"/>
      <c r="F9" s="159"/>
      <c r="G9" s="159"/>
      <c r="H9" s="159"/>
      <c r="I9" s="175"/>
      <c r="J9" s="159"/>
      <c r="K9" s="174"/>
      <c r="L9" s="159">
        <f>D9-F9-H9-J9</f>
        <v>27011</v>
      </c>
      <c r="P9" s="176"/>
    </row>
    <row r="10" spans="1:256" s="265" customFormat="1" x14ac:dyDescent="0.25">
      <c r="B10" s="170" t="s">
        <v>10</v>
      </c>
      <c r="C10" s="170"/>
      <c r="D10" s="412">
        <v>99137</v>
      </c>
      <c r="E10" s="174"/>
      <c r="F10" s="159"/>
      <c r="G10" s="159"/>
      <c r="H10" s="159"/>
      <c r="I10" s="175"/>
      <c r="J10" s="159"/>
      <c r="K10" s="174"/>
      <c r="L10" s="175">
        <f t="shared" si="0"/>
        <v>99137</v>
      </c>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c r="GK10" s="176"/>
      <c r="GL10" s="176"/>
      <c r="GM10" s="176"/>
      <c r="GN10" s="176"/>
      <c r="GO10" s="176"/>
      <c r="GP10" s="176"/>
      <c r="GQ10" s="176"/>
      <c r="GR10" s="176"/>
      <c r="GS10" s="176"/>
      <c r="GT10" s="176"/>
      <c r="GU10" s="176"/>
      <c r="GV10" s="176"/>
      <c r="GW10" s="176"/>
      <c r="GX10" s="176"/>
      <c r="GY10" s="176"/>
      <c r="GZ10" s="176"/>
      <c r="HA10" s="176"/>
      <c r="HB10" s="176"/>
      <c r="HC10" s="176"/>
      <c r="HD10" s="176"/>
      <c r="HE10" s="176"/>
      <c r="HF10" s="176"/>
      <c r="HG10" s="176"/>
      <c r="HH10" s="176"/>
      <c r="HI10" s="176"/>
      <c r="HJ10" s="176"/>
      <c r="HK10" s="176"/>
      <c r="HL10" s="176"/>
      <c r="HM10" s="176"/>
      <c r="HN10" s="176"/>
      <c r="HO10" s="176"/>
      <c r="HP10" s="176"/>
      <c r="HQ10" s="176"/>
      <c r="HR10" s="176"/>
      <c r="HS10" s="176"/>
      <c r="HT10" s="176"/>
      <c r="HU10" s="176"/>
      <c r="HV10" s="176"/>
      <c r="HW10" s="176"/>
      <c r="HX10" s="176"/>
      <c r="HY10" s="176"/>
      <c r="HZ10" s="176"/>
      <c r="IA10" s="176"/>
      <c r="IB10" s="176"/>
      <c r="IC10" s="176"/>
      <c r="ID10" s="176"/>
      <c r="IE10" s="176"/>
      <c r="IF10" s="176"/>
      <c r="IG10" s="176"/>
      <c r="IH10" s="176"/>
      <c r="II10" s="176"/>
      <c r="IJ10" s="176"/>
      <c r="IK10" s="176"/>
      <c r="IL10" s="176"/>
      <c r="IM10" s="176"/>
      <c r="IN10" s="176"/>
      <c r="IO10" s="176"/>
      <c r="IP10" s="176"/>
      <c r="IQ10" s="176"/>
      <c r="IR10" s="176"/>
      <c r="IS10" s="176"/>
      <c r="IT10" s="176"/>
      <c r="IU10" s="176"/>
      <c r="IV10" s="176"/>
    </row>
    <row r="11" spans="1:256" x14ac:dyDescent="0.25">
      <c r="B11" s="167" t="s">
        <v>9</v>
      </c>
      <c r="C11" s="167"/>
      <c r="D11" s="412">
        <v>451855</v>
      </c>
      <c r="E11" s="174"/>
      <c r="F11" s="159"/>
      <c r="G11" s="159"/>
      <c r="H11" s="159"/>
      <c r="I11" s="175"/>
      <c r="J11" s="159"/>
      <c r="K11" s="174"/>
      <c r="L11" s="159">
        <f t="shared" si="0"/>
        <v>451855</v>
      </c>
    </row>
    <row r="12" spans="1:256" x14ac:dyDescent="0.25">
      <c r="B12" s="167" t="s">
        <v>12</v>
      </c>
      <c r="C12" s="167"/>
      <c r="D12" s="412">
        <v>128788</v>
      </c>
      <c r="E12" s="174"/>
      <c r="F12" s="159"/>
      <c r="G12" s="159"/>
      <c r="H12" s="159"/>
      <c r="I12" s="175"/>
      <c r="J12" s="159"/>
      <c r="K12" s="174"/>
      <c r="L12" s="159">
        <f t="shared" si="0"/>
        <v>128788</v>
      </c>
    </row>
    <row r="13" spans="1:256" x14ac:dyDescent="0.25">
      <c r="B13" s="167" t="s">
        <v>14</v>
      </c>
      <c r="C13" s="167"/>
      <c r="D13" s="412">
        <v>118175</v>
      </c>
      <c r="E13" s="174"/>
      <c r="F13" s="159"/>
      <c r="G13" s="159"/>
      <c r="H13" s="159"/>
      <c r="I13" s="175"/>
      <c r="J13" s="159"/>
      <c r="K13" s="174"/>
      <c r="L13" s="159">
        <f t="shared" si="0"/>
        <v>118175</v>
      </c>
      <c r="N13" s="176"/>
    </row>
    <row r="14" spans="1:256" x14ac:dyDescent="0.25">
      <c r="B14" s="167" t="s">
        <v>134</v>
      </c>
      <c r="C14" s="167"/>
      <c r="D14" s="412">
        <v>14777</v>
      </c>
      <c r="E14" s="174"/>
      <c r="F14" s="159"/>
      <c r="G14" s="159"/>
      <c r="H14" s="159"/>
      <c r="I14" s="175"/>
      <c r="J14" s="159"/>
      <c r="K14" s="174"/>
      <c r="L14" s="159">
        <f t="shared" si="0"/>
        <v>14777</v>
      </c>
    </row>
    <row r="15" spans="1:256" x14ac:dyDescent="0.25">
      <c r="B15" s="167" t="s">
        <v>226</v>
      </c>
      <c r="C15" s="167"/>
      <c r="D15" s="412">
        <v>0</v>
      </c>
      <c r="E15" s="174"/>
      <c r="F15" s="159"/>
      <c r="G15" s="159"/>
      <c r="H15" s="159"/>
      <c r="I15" s="175"/>
      <c r="J15" s="159"/>
      <c r="K15" s="174"/>
      <c r="L15" s="159">
        <f t="shared" si="0"/>
        <v>0</v>
      </c>
    </row>
    <row r="16" spans="1:256" x14ac:dyDescent="0.25">
      <c r="B16" s="167" t="s">
        <v>16</v>
      </c>
      <c r="D16" s="412">
        <v>120609</v>
      </c>
      <c r="E16" s="174"/>
      <c r="F16" s="159"/>
      <c r="G16" s="159"/>
      <c r="H16" s="159"/>
      <c r="I16" s="175"/>
      <c r="J16" s="159"/>
      <c r="K16" s="174"/>
      <c r="L16" s="159">
        <f t="shared" ref="L16:L26" si="1">D16-F16-H16-J16</f>
        <v>120609</v>
      </c>
    </row>
    <row r="17" spans="1:256" x14ac:dyDescent="0.25">
      <c r="B17" s="167" t="s">
        <v>17</v>
      </c>
      <c r="D17" s="412">
        <v>137571</v>
      </c>
      <c r="E17" s="174"/>
      <c r="F17" s="159"/>
      <c r="G17" s="159"/>
      <c r="H17" s="159"/>
      <c r="I17" s="175"/>
      <c r="J17" s="159"/>
      <c r="K17" s="174"/>
      <c r="L17" s="159">
        <f t="shared" si="1"/>
        <v>137571</v>
      </c>
    </row>
    <row r="18" spans="1:256" x14ac:dyDescent="0.25">
      <c r="B18" s="167" t="s">
        <v>20</v>
      </c>
      <c r="C18" s="167"/>
      <c r="D18" s="412">
        <v>19340</v>
      </c>
      <c r="E18" s="174"/>
      <c r="F18" s="159"/>
      <c r="G18" s="159"/>
      <c r="H18" s="159"/>
      <c r="I18" s="175"/>
      <c r="J18" s="159"/>
      <c r="K18" s="174"/>
      <c r="L18" s="159">
        <f t="shared" si="1"/>
        <v>19340</v>
      </c>
    </row>
    <row r="19" spans="1:256" x14ac:dyDescent="0.25">
      <c r="B19" s="167" t="s">
        <v>18</v>
      </c>
      <c r="C19" s="167"/>
      <c r="D19" s="412">
        <v>45418</v>
      </c>
      <c r="E19" s="174"/>
      <c r="F19" s="159"/>
      <c r="G19" s="159"/>
      <c r="H19" s="159"/>
      <c r="I19" s="175"/>
      <c r="J19" s="159"/>
      <c r="K19" s="174"/>
      <c r="L19" s="159">
        <f t="shared" si="1"/>
        <v>45418</v>
      </c>
    </row>
    <row r="20" spans="1:256" x14ac:dyDescent="0.25">
      <c r="B20" s="167" t="s">
        <v>137</v>
      </c>
      <c r="C20" s="167"/>
      <c r="D20" s="412">
        <v>0</v>
      </c>
      <c r="E20" s="174"/>
      <c r="F20" s="159"/>
      <c r="G20" s="159"/>
      <c r="H20" s="159"/>
      <c r="I20" s="175"/>
      <c r="J20" s="159"/>
      <c r="K20" s="174"/>
      <c r="L20" s="159">
        <f t="shared" si="1"/>
        <v>0</v>
      </c>
    </row>
    <row r="21" spans="1:256" x14ac:dyDescent="0.25">
      <c r="B21" s="167" t="s">
        <v>15</v>
      </c>
      <c r="C21" s="167"/>
      <c r="D21" s="412">
        <v>0</v>
      </c>
      <c r="E21" s="174"/>
      <c r="F21" s="159"/>
      <c r="G21" s="159"/>
      <c r="H21" s="159"/>
      <c r="I21" s="175"/>
      <c r="J21" s="159"/>
      <c r="K21" s="174"/>
      <c r="L21" s="159">
        <f t="shared" si="1"/>
        <v>0</v>
      </c>
    </row>
    <row r="22" spans="1:256" x14ac:dyDescent="0.25">
      <c r="B22" s="167" t="s">
        <v>152</v>
      </c>
      <c r="C22" s="167"/>
      <c r="D22" s="412">
        <v>0</v>
      </c>
      <c r="E22" s="174"/>
      <c r="F22" s="159"/>
      <c r="G22" s="159"/>
      <c r="H22" s="159"/>
      <c r="I22" s="175"/>
      <c r="J22" s="159"/>
      <c r="K22" s="174"/>
      <c r="L22" s="159">
        <f t="shared" si="1"/>
        <v>0</v>
      </c>
    </row>
    <row r="23" spans="1:256" x14ac:dyDescent="0.25">
      <c r="B23" s="167" t="s">
        <v>19</v>
      </c>
      <c r="C23" s="167"/>
      <c r="D23" s="412">
        <v>17109</v>
      </c>
      <c r="E23" s="174"/>
      <c r="F23" s="159"/>
      <c r="G23" s="159"/>
      <c r="H23" s="159"/>
      <c r="I23" s="175"/>
      <c r="J23" s="159"/>
      <c r="K23" s="174"/>
      <c r="L23" s="159">
        <f t="shared" si="1"/>
        <v>17109</v>
      </c>
    </row>
    <row r="24" spans="1:256" x14ac:dyDescent="0.25">
      <c r="B24" s="167" t="s">
        <v>138</v>
      </c>
      <c r="C24" s="167"/>
      <c r="D24" s="412">
        <v>0</v>
      </c>
      <c r="E24" s="174"/>
      <c r="F24" s="159"/>
      <c r="G24" s="159"/>
      <c r="H24" s="159"/>
      <c r="I24" s="175"/>
      <c r="J24" s="159"/>
      <c r="K24" s="174"/>
      <c r="L24" s="159">
        <f t="shared" si="1"/>
        <v>0</v>
      </c>
    </row>
    <row r="25" spans="1:256" x14ac:dyDescent="0.25">
      <c r="B25" s="167" t="s">
        <v>139</v>
      </c>
      <c r="C25" s="167"/>
      <c r="D25" s="412">
        <v>8813</v>
      </c>
      <c r="E25" s="174"/>
      <c r="F25" s="159"/>
      <c r="G25" s="159"/>
      <c r="H25" s="159"/>
      <c r="I25" s="175"/>
      <c r="J25" s="159"/>
      <c r="K25" s="174"/>
      <c r="L25" s="159">
        <f t="shared" si="1"/>
        <v>8813</v>
      </c>
    </row>
    <row r="26" spans="1:256" x14ac:dyDescent="0.25">
      <c r="B26" s="167" t="s">
        <v>229</v>
      </c>
      <c r="C26" s="167"/>
      <c r="D26" s="412">
        <v>16978</v>
      </c>
      <c r="E26" s="174"/>
      <c r="F26" s="159"/>
      <c r="G26" s="159"/>
      <c r="H26" s="159"/>
      <c r="I26" s="175"/>
      <c r="J26" s="159"/>
      <c r="K26" s="174"/>
      <c r="L26" s="159">
        <f t="shared" si="1"/>
        <v>16978</v>
      </c>
    </row>
    <row r="27" spans="1:256" s="265" customFormat="1" x14ac:dyDescent="0.25">
      <c r="A27" s="241"/>
      <c r="B27" s="170" t="s">
        <v>471</v>
      </c>
      <c r="C27" s="170"/>
      <c r="D27" s="412">
        <v>0</v>
      </c>
      <c r="E27" s="174"/>
      <c r="F27" s="159"/>
      <c r="G27" s="159"/>
      <c r="H27" s="159"/>
      <c r="I27" s="175"/>
      <c r="J27" s="159"/>
      <c r="K27" s="174"/>
      <c r="L27" s="175">
        <f>D27-F27-H27-J27</f>
        <v>0</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c r="CI27" s="176"/>
      <c r="CJ27" s="176"/>
      <c r="CK27" s="176"/>
      <c r="CL27" s="176"/>
      <c r="CM27" s="176"/>
      <c r="CN27" s="176"/>
      <c r="CO27" s="176"/>
      <c r="CP27" s="176"/>
      <c r="CQ27" s="176"/>
      <c r="CR27" s="176"/>
      <c r="CS27" s="176"/>
      <c r="CT27" s="176"/>
      <c r="CU27" s="176"/>
      <c r="CV27" s="176"/>
      <c r="CW27" s="176"/>
      <c r="CX27" s="176"/>
      <c r="CY27" s="176"/>
      <c r="CZ27" s="176"/>
      <c r="DA27" s="176"/>
      <c r="DB27" s="176"/>
      <c r="DC27" s="176"/>
      <c r="DD27" s="176"/>
      <c r="DE27" s="176"/>
      <c r="DF27" s="176"/>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c r="GQ27" s="176"/>
      <c r="GR27" s="176"/>
      <c r="GS27" s="176"/>
      <c r="GT27" s="176"/>
      <c r="GU27" s="176"/>
      <c r="GV27" s="176"/>
      <c r="GW27" s="176"/>
      <c r="GX27" s="176"/>
      <c r="GY27" s="176"/>
      <c r="GZ27" s="176"/>
      <c r="HA27" s="176"/>
      <c r="HB27" s="176"/>
      <c r="HC27" s="176"/>
      <c r="HD27" s="176"/>
      <c r="HE27" s="176"/>
      <c r="HF27" s="176"/>
      <c r="HG27" s="176"/>
      <c r="HH27" s="176"/>
      <c r="HI27" s="176"/>
      <c r="HJ27" s="176"/>
      <c r="HK27" s="176"/>
      <c r="HL27" s="176"/>
      <c r="HM27" s="176"/>
      <c r="HN27" s="176"/>
      <c r="HO27" s="176"/>
      <c r="HP27" s="176"/>
      <c r="HQ27" s="176"/>
      <c r="HR27" s="176"/>
      <c r="HS27" s="176"/>
      <c r="HT27" s="176"/>
      <c r="HU27" s="176"/>
      <c r="HV27" s="176"/>
      <c r="HW27" s="176"/>
      <c r="HX27" s="176"/>
      <c r="HY27" s="176"/>
      <c r="HZ27" s="176"/>
      <c r="IA27" s="176"/>
      <c r="IB27" s="176"/>
      <c r="IC27" s="176"/>
      <c r="ID27" s="176"/>
      <c r="IE27" s="176"/>
      <c r="IF27" s="176"/>
      <c r="IG27" s="176"/>
      <c r="IH27" s="176"/>
      <c r="II27" s="176"/>
      <c r="IJ27" s="176"/>
      <c r="IK27" s="176"/>
      <c r="IL27" s="176"/>
      <c r="IM27" s="176"/>
      <c r="IN27" s="176"/>
      <c r="IO27" s="176"/>
      <c r="IP27" s="176"/>
      <c r="IQ27" s="176"/>
      <c r="IR27" s="176"/>
      <c r="IS27" s="176"/>
      <c r="IT27" s="176"/>
      <c r="IU27" s="176"/>
      <c r="IV27" s="176"/>
    </row>
    <row r="28" spans="1:256" x14ac:dyDescent="0.25">
      <c r="B28" s="167" t="s">
        <v>21</v>
      </c>
      <c r="C28" s="167"/>
      <c r="D28" s="159">
        <v>459740</v>
      </c>
      <c r="E28" s="174"/>
      <c r="F28" s="159">
        <f>D28</f>
        <v>459740</v>
      </c>
      <c r="G28" s="159"/>
      <c r="H28" s="159"/>
      <c r="I28" s="175"/>
      <c r="J28" s="159"/>
      <c r="K28" s="174"/>
      <c r="L28" s="159">
        <f>D28-F28-H28-J28</f>
        <v>0</v>
      </c>
    </row>
    <row r="29" spans="1:256" x14ac:dyDescent="0.25">
      <c r="B29" s="167"/>
      <c r="C29" s="167"/>
      <c r="D29" s="159"/>
      <c r="E29" s="174"/>
      <c r="F29" s="159"/>
      <c r="G29" s="159"/>
      <c r="H29" s="159"/>
      <c r="I29" s="175"/>
      <c r="J29" s="159"/>
      <c r="K29" s="174"/>
      <c r="L29" s="159"/>
    </row>
    <row r="30" spans="1:256" s="183" customFormat="1" ht="15.75" thickBot="1" x14ac:dyDescent="0.3">
      <c r="B30" s="193" t="s">
        <v>23</v>
      </c>
      <c r="C30" s="184"/>
      <c r="D30" s="188">
        <f>SUM(D7:D29)</f>
        <v>1802275</v>
      </c>
      <c r="E30" s="185"/>
      <c r="F30" s="188">
        <f>SUM(F7:F29)</f>
        <v>459740</v>
      </c>
      <c r="G30" s="189"/>
      <c r="H30" s="188">
        <f>SUM(H7:H29)</f>
        <v>0</v>
      </c>
      <c r="I30" s="190"/>
      <c r="J30" s="188">
        <f>SUM(J7:J29)</f>
        <v>0</v>
      </c>
      <c r="K30" s="191"/>
      <c r="L30" s="188">
        <f>SUM(L7:L29)</f>
        <v>1342535</v>
      </c>
      <c r="M30" s="248" t="s">
        <v>298</v>
      </c>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c r="EO30" s="187"/>
      <c r="EP30" s="187"/>
      <c r="EQ30" s="187"/>
      <c r="ER30" s="187"/>
      <c r="ES30" s="187"/>
      <c r="ET30" s="187"/>
      <c r="EU30" s="187"/>
      <c r="EV30" s="187"/>
      <c r="EW30" s="187"/>
      <c r="EX30" s="187"/>
      <c r="EY30" s="187"/>
      <c r="EZ30" s="187"/>
      <c r="FA30" s="187"/>
      <c r="FB30" s="187"/>
      <c r="FC30" s="187"/>
      <c r="FD30" s="187"/>
      <c r="FE30" s="187"/>
      <c r="FF30" s="187"/>
      <c r="FG30" s="187"/>
      <c r="FH30" s="187"/>
      <c r="FI30" s="187"/>
      <c r="FJ30" s="187"/>
      <c r="FK30" s="187"/>
      <c r="FL30" s="187"/>
      <c r="FM30" s="187"/>
      <c r="FN30" s="187"/>
      <c r="FO30" s="187"/>
      <c r="FP30" s="187"/>
      <c r="FQ30" s="187"/>
      <c r="FR30" s="187"/>
      <c r="FS30" s="187"/>
      <c r="FT30" s="187"/>
      <c r="FU30" s="187"/>
      <c r="FV30" s="187"/>
      <c r="FW30" s="187"/>
      <c r="FX30" s="187"/>
      <c r="FY30" s="187"/>
      <c r="FZ30" s="187"/>
      <c r="GA30" s="187"/>
      <c r="GB30" s="187"/>
      <c r="GC30" s="187"/>
      <c r="GD30" s="187"/>
      <c r="GE30" s="187"/>
      <c r="GF30" s="187"/>
      <c r="GG30" s="187"/>
      <c r="GH30" s="187"/>
      <c r="GI30" s="187"/>
      <c r="GJ30" s="187"/>
      <c r="GK30" s="187"/>
      <c r="GL30" s="187"/>
      <c r="GM30" s="187"/>
      <c r="GN30" s="187"/>
      <c r="GO30" s="187"/>
      <c r="GP30" s="187"/>
      <c r="GQ30" s="187"/>
      <c r="GR30" s="187"/>
      <c r="GS30" s="187"/>
      <c r="GT30" s="187"/>
      <c r="GU30" s="187"/>
      <c r="GV30" s="187"/>
      <c r="GW30" s="187"/>
      <c r="GX30" s="187"/>
      <c r="GY30" s="187"/>
      <c r="GZ30" s="187"/>
      <c r="HA30" s="187"/>
      <c r="HB30" s="187"/>
      <c r="HC30" s="187"/>
      <c r="HD30" s="187"/>
      <c r="HE30" s="187"/>
      <c r="HF30" s="187"/>
      <c r="HG30" s="187"/>
      <c r="HH30" s="187"/>
      <c r="HI30" s="187"/>
      <c r="HJ30" s="187"/>
      <c r="HK30" s="187"/>
      <c r="HL30" s="187"/>
      <c r="HM30" s="187"/>
      <c r="HN30" s="187"/>
      <c r="HO30" s="187"/>
      <c r="HP30" s="187"/>
      <c r="HQ30" s="187"/>
      <c r="HR30" s="187"/>
      <c r="HS30" s="187"/>
      <c r="HT30" s="187"/>
      <c r="HU30" s="187"/>
      <c r="HV30" s="187"/>
      <c r="HW30" s="187"/>
      <c r="HX30" s="187"/>
      <c r="HY30" s="187"/>
      <c r="HZ30" s="187"/>
      <c r="IA30" s="187"/>
      <c r="IB30" s="187"/>
      <c r="IC30" s="187"/>
      <c r="ID30" s="187"/>
      <c r="IE30" s="187"/>
      <c r="IF30" s="187"/>
      <c r="IG30" s="187"/>
      <c r="IH30" s="187"/>
      <c r="II30" s="187"/>
      <c r="IJ30" s="187"/>
      <c r="IK30" s="187"/>
      <c r="IL30" s="187"/>
      <c r="IM30" s="187"/>
      <c r="IN30" s="187"/>
      <c r="IO30" s="187"/>
      <c r="IP30" s="187"/>
      <c r="IQ30" s="187"/>
      <c r="IR30" s="187"/>
      <c r="IS30" s="187"/>
      <c r="IT30" s="187"/>
      <c r="IU30" s="187"/>
      <c r="IV30" s="187"/>
    </row>
    <row r="31" spans="1:256" s="183" customFormat="1" ht="15.75" thickTop="1" x14ac:dyDescent="0.25">
      <c r="B31" s="193"/>
      <c r="C31" s="184"/>
      <c r="D31" s="189"/>
      <c r="E31" s="185"/>
      <c r="F31" s="189"/>
      <c r="G31" s="189"/>
      <c r="H31" s="189"/>
      <c r="I31" s="190"/>
      <c r="J31" s="189"/>
      <c r="K31" s="191"/>
      <c r="L31" s="189"/>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c r="IF31" s="187"/>
      <c r="IG31" s="187"/>
      <c r="IH31" s="187"/>
      <c r="II31" s="187"/>
      <c r="IJ31" s="187"/>
      <c r="IK31" s="187"/>
      <c r="IL31" s="187"/>
      <c r="IM31" s="187"/>
      <c r="IN31" s="187"/>
      <c r="IO31" s="187"/>
      <c r="IP31" s="187"/>
      <c r="IQ31" s="187"/>
      <c r="IR31" s="187"/>
      <c r="IS31" s="187"/>
      <c r="IT31" s="187"/>
      <c r="IU31" s="187"/>
      <c r="IV31" s="187"/>
    </row>
    <row r="32" spans="1:256" ht="42.6" customHeight="1" x14ac:dyDescent="0.25">
      <c r="B32" s="177"/>
      <c r="C32" s="167"/>
      <c r="D32" s="359" t="s">
        <v>245</v>
      </c>
      <c r="E32" s="178"/>
      <c r="F32" s="177"/>
      <c r="G32" s="177"/>
      <c r="H32" s="177"/>
      <c r="I32" s="179"/>
      <c r="J32" s="167"/>
      <c r="K32" s="179"/>
      <c r="L32" s="200"/>
    </row>
    <row r="33" spans="2:18" x14ac:dyDescent="0.25">
      <c r="B33" s="177"/>
      <c r="C33" s="167"/>
      <c r="D33" s="177"/>
      <c r="E33" s="178"/>
      <c r="F33" s="177"/>
      <c r="G33" s="177"/>
      <c r="H33" s="177"/>
      <c r="I33" s="179"/>
      <c r="J33" s="167"/>
      <c r="K33" s="179"/>
      <c r="L33" s="249">
        <f>SUM(D30-F30-H30-J30)</f>
        <v>1342535</v>
      </c>
    </row>
    <row r="34" spans="2:18" x14ac:dyDescent="0.25">
      <c r="B34" s="177"/>
      <c r="C34" s="167"/>
      <c r="D34" s="177">
        <f>1802275-D30</f>
        <v>0</v>
      </c>
      <c r="E34" s="178"/>
      <c r="F34" s="177"/>
      <c r="G34" s="177"/>
      <c r="H34" s="177"/>
      <c r="I34" s="179"/>
      <c r="J34" s="167"/>
      <c r="K34" s="179"/>
      <c r="L34" s="159" t="s">
        <v>214</v>
      </c>
    </row>
    <row r="35" spans="2:18" x14ac:dyDescent="0.25">
      <c r="B35" s="177"/>
      <c r="C35" s="167"/>
      <c r="D35" s="177"/>
      <c r="E35" s="178"/>
      <c r="F35" s="177"/>
      <c r="G35" s="177"/>
      <c r="H35" s="177"/>
      <c r="I35" s="179"/>
      <c r="J35" s="167"/>
      <c r="K35" s="179"/>
      <c r="L35" s="177"/>
    </row>
    <row r="36" spans="2:18" ht="79.5" customHeight="1" x14ac:dyDescent="0.25">
      <c r="B36" s="442" t="s">
        <v>447</v>
      </c>
      <c r="C36" s="442"/>
      <c r="D36" s="442"/>
      <c r="E36" s="442"/>
      <c r="F36" s="442"/>
      <c r="G36" s="442"/>
      <c r="H36" s="442"/>
      <c r="I36" s="442"/>
      <c r="J36" s="442"/>
      <c r="K36" s="442"/>
      <c r="L36" s="442"/>
      <c r="M36" s="180"/>
      <c r="N36" s="180"/>
      <c r="O36" s="180"/>
      <c r="P36" s="180"/>
      <c r="Q36" s="180"/>
    </row>
    <row r="37" spans="2:18" x14ac:dyDescent="0.25">
      <c r="B37" s="181"/>
    </row>
    <row r="38" spans="2:18" ht="15.75" x14ac:dyDescent="0.25">
      <c r="B38" s="444" t="s">
        <v>448</v>
      </c>
      <c r="C38" s="444"/>
      <c r="D38" s="444"/>
      <c r="E38" s="444"/>
      <c r="F38" s="444"/>
      <c r="G38" s="444"/>
      <c r="H38" s="444"/>
      <c r="I38" s="444"/>
      <c r="J38" s="444"/>
      <c r="K38" s="444"/>
      <c r="L38" s="444"/>
    </row>
    <row r="39" spans="2:18" x14ac:dyDescent="0.25">
      <c r="B39" s="182"/>
      <c r="C39" s="182"/>
      <c r="D39" s="182"/>
      <c r="E39" s="182"/>
      <c r="F39" s="182"/>
      <c r="G39" s="182"/>
      <c r="H39" s="182"/>
      <c r="I39" s="182"/>
      <c r="J39" s="182"/>
      <c r="K39" s="182"/>
      <c r="L39" s="182"/>
    </row>
    <row r="40" spans="2:18" ht="68.25" customHeight="1" x14ac:dyDescent="0.25">
      <c r="B40" s="443" t="s">
        <v>449</v>
      </c>
      <c r="C40" s="443"/>
      <c r="D40" s="443"/>
      <c r="E40" s="443"/>
      <c r="F40" s="443"/>
      <c r="G40" s="443"/>
      <c r="H40" s="443"/>
      <c r="I40" s="443"/>
      <c r="J40" s="443"/>
      <c r="K40" s="443"/>
      <c r="L40" s="443"/>
      <c r="M40" s="54"/>
      <c r="N40" s="54"/>
      <c r="O40" s="54"/>
      <c r="P40" s="54"/>
      <c r="Q40" s="54"/>
      <c r="R40" s="54"/>
    </row>
    <row r="41" spans="2:18" x14ac:dyDescent="0.25">
      <c r="B41" s="182"/>
      <c r="C41" s="182"/>
      <c r="D41" s="182"/>
      <c r="E41" s="182"/>
      <c r="F41" s="182"/>
      <c r="G41" s="182"/>
      <c r="H41" s="182"/>
      <c r="I41" s="182"/>
      <c r="J41" s="182"/>
      <c r="K41" s="182"/>
      <c r="L41" s="182"/>
    </row>
    <row r="42" spans="2:18" x14ac:dyDescent="0.25">
      <c r="B42" s="182"/>
      <c r="C42" s="182"/>
      <c r="D42" s="182"/>
      <c r="E42" s="182"/>
      <c r="F42" s="182"/>
      <c r="G42" s="182"/>
      <c r="H42" s="182"/>
      <c r="I42" s="182"/>
      <c r="J42" s="182"/>
      <c r="K42" s="182"/>
      <c r="L42" s="182"/>
    </row>
    <row r="43" spans="2:18" x14ac:dyDescent="0.25">
      <c r="B43" s="182"/>
      <c r="C43" s="182"/>
      <c r="D43" s="182"/>
      <c r="E43" s="182"/>
      <c r="F43" s="182"/>
      <c r="G43" s="182"/>
      <c r="H43" s="182"/>
      <c r="I43" s="182"/>
      <c r="J43" s="182"/>
      <c r="K43" s="182"/>
      <c r="L43" s="182"/>
    </row>
  </sheetData>
  <mergeCells count="3">
    <mergeCell ref="B36:L36"/>
    <mergeCell ref="B40:L40"/>
    <mergeCell ref="B38:L38"/>
  </mergeCells>
  <printOptions headings="1"/>
  <pageMargins left="0.2" right="0.45" top="1" bottom="0.75" header="0.3" footer="0.3"/>
  <pageSetup scale="64" orientation="portrait" r:id="rId1"/>
  <headerFooter>
    <oddFooter>&amp;L&amp;F&amp;C&amp;A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28"/>
  <sheetViews>
    <sheetView zoomScaleNormal="100" workbookViewId="0">
      <pane ySplit="9" topLeftCell="A167" activePane="bottomLeft" state="frozen"/>
      <selection activeCell="A40" sqref="A40:Q40"/>
      <selection pane="bottomLeft" activeCell="B2" sqref="B2:C2"/>
    </sheetView>
  </sheetViews>
  <sheetFormatPr defaultColWidth="9.140625" defaultRowHeight="13.5" customHeight="1" x14ac:dyDescent="0.2"/>
  <cols>
    <col min="1" max="1" width="7" style="6" customWidth="1"/>
    <col min="2" max="2" width="2.7109375" style="6" customWidth="1"/>
    <col min="3" max="3" width="8.140625" style="6" customWidth="1"/>
    <col min="4" max="4" width="33.28515625" style="6" customWidth="1"/>
    <col min="5" max="5" width="13.7109375" style="6" bestFit="1" customWidth="1"/>
    <col min="6" max="6" width="1.7109375" style="6" customWidth="1"/>
    <col min="7" max="7" width="11.140625" style="6" bestFit="1" customWidth="1"/>
    <col min="8" max="8" width="1.7109375" style="6" customWidth="1"/>
    <col min="9" max="9" width="14.5703125" style="6" bestFit="1" customWidth="1"/>
    <col min="10" max="10" width="1.7109375" style="6" customWidth="1"/>
    <col min="11" max="11" width="10.85546875" style="6" customWidth="1"/>
    <col min="12" max="12" width="1.7109375" style="6" customWidth="1"/>
    <col min="13" max="13" width="12.5703125" style="6" bestFit="1" customWidth="1"/>
    <col min="14" max="14" width="3.42578125" style="6" customWidth="1"/>
    <col min="15" max="15" width="12.28515625" style="6" bestFit="1" customWidth="1"/>
    <col min="16" max="16" width="1.7109375" style="6" customWidth="1"/>
    <col min="17" max="17" width="11.7109375" style="6" customWidth="1"/>
    <col min="18" max="18" width="1.7109375" style="6" customWidth="1"/>
    <col min="19" max="19" width="11.7109375" style="6" customWidth="1"/>
    <col min="20" max="20" width="1.7109375" style="6" customWidth="1"/>
    <col min="21" max="21" width="13.7109375" style="6" customWidth="1"/>
    <col min="22" max="22" width="1.7109375" style="6" customWidth="1"/>
    <col min="23" max="23" width="13.7109375" style="6" customWidth="1"/>
    <col min="24" max="24" width="1.7109375" style="6" customWidth="1"/>
    <col min="25" max="25" width="14.5703125" style="6" customWidth="1"/>
    <col min="26" max="26" width="2.7109375" style="6" customWidth="1"/>
    <col min="27" max="27" width="8.28515625" style="6" customWidth="1"/>
    <col min="28" max="16384" width="9.140625" style="6"/>
  </cols>
  <sheetData>
    <row r="1" spans="1:28" ht="18.75" x14ac:dyDescent="0.3">
      <c r="B1" s="421" t="str">
        <f>'start here-do not delete'!D29</f>
        <v>Sample Tribe</v>
      </c>
      <c r="C1" s="421"/>
      <c r="D1" s="421"/>
      <c r="E1" s="33"/>
      <c r="F1" s="33"/>
      <c r="G1" s="33"/>
      <c r="H1" s="33"/>
      <c r="I1" s="33"/>
      <c r="J1" s="33"/>
      <c r="K1" s="33"/>
      <c r="L1" s="33"/>
      <c r="M1" s="33"/>
      <c r="N1" s="33"/>
      <c r="O1" s="33"/>
      <c r="P1" s="33"/>
      <c r="Q1" s="33"/>
      <c r="R1" s="33"/>
      <c r="S1" s="33"/>
      <c r="T1" s="33"/>
      <c r="V1" s="33"/>
      <c r="X1" s="33"/>
      <c r="Y1" s="87" t="s">
        <v>122</v>
      </c>
    </row>
    <row r="2" spans="1:28" ht="18" customHeight="1" x14ac:dyDescent="0.3">
      <c r="B2" s="445" t="str">
        <f>'start here-do not delete'!D32</f>
        <v>FY 2025</v>
      </c>
      <c r="C2" s="445"/>
      <c r="D2" s="310" t="s">
        <v>405</v>
      </c>
      <c r="E2" s="310"/>
    </row>
    <row r="3" spans="1:28" ht="13.5" customHeight="1" thickBot="1" x14ac:dyDescent="0.3">
      <c r="B3" s="2"/>
      <c r="C3" s="51"/>
      <c r="D3" s="51"/>
      <c r="E3" s="2"/>
      <c r="F3" s="34"/>
      <c r="G3" s="306" t="s">
        <v>145</v>
      </c>
      <c r="H3" s="306"/>
      <c r="I3" s="306"/>
      <c r="J3" s="306"/>
      <c r="K3" s="306"/>
      <c r="L3" s="306"/>
      <c r="M3" s="306" t="s">
        <v>26</v>
      </c>
      <c r="N3" s="306"/>
      <c r="O3" s="303"/>
      <c r="P3" s="306"/>
      <c r="Q3" s="306"/>
      <c r="R3" s="306"/>
      <c r="S3" s="306"/>
      <c r="T3" s="51"/>
      <c r="U3" s="437" t="s">
        <v>76</v>
      </c>
      <c r="V3" s="437"/>
      <c r="W3" s="437"/>
      <c r="X3" s="437"/>
      <c r="Y3" s="437"/>
    </row>
    <row r="4" spans="1:28" ht="13.5" customHeight="1" x14ac:dyDescent="0.25">
      <c r="B4" s="2"/>
      <c r="C4" s="51"/>
      <c r="D4" s="51"/>
      <c r="E4" s="2"/>
      <c r="F4" s="34"/>
      <c r="G4" s="36"/>
      <c r="H4" s="36"/>
      <c r="I4" s="36"/>
      <c r="J4" s="36"/>
      <c r="K4" s="36"/>
      <c r="L4" s="36"/>
      <c r="M4" s="36"/>
      <c r="N4" s="36"/>
      <c r="O4" s="36"/>
      <c r="P4" s="36"/>
      <c r="Q4" s="36"/>
      <c r="R4" s="36"/>
      <c r="S4" s="36"/>
      <c r="T4" s="51"/>
      <c r="U4" s="51"/>
      <c r="V4" s="51"/>
      <c r="X4" s="51"/>
    </row>
    <row r="5" spans="1:28" ht="13.5" customHeight="1" x14ac:dyDescent="0.25">
      <c r="B5" s="2"/>
      <c r="C5" s="51"/>
      <c r="D5" s="51"/>
      <c r="E5" s="2"/>
      <c r="F5" s="34"/>
      <c r="G5" s="36"/>
      <c r="H5" s="36"/>
      <c r="I5" s="35" t="s">
        <v>29</v>
      </c>
      <c r="J5" s="36"/>
      <c r="K5" s="36"/>
      <c r="L5" s="36"/>
      <c r="M5" s="36" t="s">
        <v>537</v>
      </c>
      <c r="N5" s="415" t="s">
        <v>25</v>
      </c>
      <c r="O5" s="36"/>
      <c r="P5" s="36"/>
      <c r="Q5" s="36" t="s">
        <v>30</v>
      </c>
      <c r="R5" s="36"/>
      <c r="S5" s="70" t="s">
        <v>0</v>
      </c>
      <c r="T5" s="51"/>
      <c r="U5" s="51"/>
      <c r="V5" s="51"/>
      <c r="X5" s="51"/>
    </row>
    <row r="6" spans="1:28" s="84" customFormat="1" ht="13.5" customHeight="1" x14ac:dyDescent="0.2">
      <c r="B6" s="34"/>
      <c r="C6" s="35"/>
      <c r="D6" s="35"/>
      <c r="E6" s="35" t="s">
        <v>57</v>
      </c>
      <c r="F6" s="35"/>
      <c r="G6" s="35"/>
      <c r="H6" s="35"/>
      <c r="I6" s="36" t="s">
        <v>33</v>
      </c>
      <c r="J6" s="35"/>
      <c r="K6" s="36" t="s">
        <v>0</v>
      </c>
      <c r="L6" s="35"/>
      <c r="M6" s="35" t="s">
        <v>34</v>
      </c>
      <c r="N6" s="35"/>
      <c r="O6" s="35" t="s">
        <v>35</v>
      </c>
      <c r="P6" s="35"/>
      <c r="Q6" s="35" t="s">
        <v>36</v>
      </c>
      <c r="R6" s="35"/>
      <c r="S6" s="36" t="s">
        <v>27</v>
      </c>
      <c r="T6" s="35"/>
      <c r="U6" s="438" t="str">
        <f>B2</f>
        <v>FY 2025</v>
      </c>
      <c r="V6" s="438"/>
      <c r="W6" s="438"/>
      <c r="X6" s="438"/>
      <c r="Y6" s="438"/>
    </row>
    <row r="7" spans="1:28" s="84" customFormat="1" ht="13.5" customHeight="1" x14ac:dyDescent="0.2">
      <c r="B7" s="34"/>
      <c r="C7" s="35"/>
      <c r="D7" s="35"/>
      <c r="E7" s="35" t="str">
        <f>B2</f>
        <v>FY 2025</v>
      </c>
      <c r="F7" s="34"/>
      <c r="G7" s="36" t="s">
        <v>32</v>
      </c>
      <c r="H7" s="34"/>
      <c r="I7" s="308" t="s">
        <v>39</v>
      </c>
      <c r="J7" s="34"/>
      <c r="K7" s="35" t="s">
        <v>27</v>
      </c>
      <c r="L7" s="34"/>
      <c r="M7" s="36" t="s">
        <v>163</v>
      </c>
      <c r="N7" s="34"/>
      <c r="O7" s="36" t="s">
        <v>3</v>
      </c>
      <c r="P7" s="34"/>
      <c r="Q7" s="36" t="s">
        <v>0</v>
      </c>
      <c r="R7" s="34"/>
      <c r="S7" s="36" t="s">
        <v>218</v>
      </c>
      <c r="T7" s="35"/>
      <c r="U7" s="35" t="s">
        <v>97</v>
      </c>
      <c r="V7" s="71"/>
      <c r="W7" s="35" t="s">
        <v>97</v>
      </c>
      <c r="X7" s="71"/>
      <c r="Y7" s="35" t="s">
        <v>37</v>
      </c>
    </row>
    <row r="8" spans="1:28" s="84" customFormat="1" ht="13.5" customHeight="1" thickBot="1" x14ac:dyDescent="0.25">
      <c r="A8" s="153" t="s">
        <v>200</v>
      </c>
      <c r="B8" s="80" t="s">
        <v>117</v>
      </c>
      <c r="C8" s="81"/>
      <c r="D8" s="81"/>
      <c r="E8" s="306" t="s">
        <v>28</v>
      </c>
      <c r="F8" s="306"/>
      <c r="G8" s="306" t="s">
        <v>38</v>
      </c>
      <c r="H8" s="306"/>
      <c r="I8" s="306" t="s">
        <v>11</v>
      </c>
      <c r="J8" s="306"/>
      <c r="K8" s="306" t="s">
        <v>85</v>
      </c>
      <c r="L8" s="306"/>
      <c r="M8" s="306" t="s">
        <v>22</v>
      </c>
      <c r="N8" s="306"/>
      <c r="O8" s="306" t="s">
        <v>24</v>
      </c>
      <c r="P8" s="306"/>
      <c r="Q8" s="306" t="s">
        <v>55</v>
      </c>
      <c r="R8" s="306"/>
      <c r="S8" s="306" t="s">
        <v>86</v>
      </c>
      <c r="T8" s="306"/>
      <c r="U8" s="306" t="s">
        <v>305</v>
      </c>
      <c r="V8" s="306"/>
      <c r="W8" s="306" t="s">
        <v>306</v>
      </c>
      <c r="X8" s="306"/>
      <c r="Y8" s="306" t="s">
        <v>403</v>
      </c>
      <c r="Z8" s="36"/>
      <c r="AB8" s="15" t="s">
        <v>324</v>
      </c>
    </row>
    <row r="9" spans="1:28" s="84" customFormat="1" ht="13.5" customHeight="1" x14ac:dyDescent="0.2">
      <c r="B9" s="88"/>
      <c r="C9" s="88"/>
      <c r="D9" s="88"/>
      <c r="E9" s="89"/>
      <c r="F9" s="4"/>
      <c r="G9" s="308"/>
      <c r="H9" s="4"/>
      <c r="I9" s="308"/>
      <c r="J9" s="4"/>
      <c r="K9" s="308"/>
      <c r="L9" s="4"/>
      <c r="M9" s="308"/>
      <c r="N9" s="4"/>
      <c r="O9" s="308"/>
      <c r="P9" s="4"/>
      <c r="Q9" s="308"/>
      <c r="R9" s="4"/>
      <c r="S9" s="89"/>
      <c r="T9" s="308"/>
      <c r="U9" s="89"/>
      <c r="V9" s="308"/>
      <c r="X9" s="308"/>
    </row>
    <row r="10" spans="1:28" ht="13.5" customHeight="1" x14ac:dyDescent="0.2">
      <c r="B10" s="447" t="s">
        <v>41</v>
      </c>
      <c r="C10" s="447"/>
      <c r="D10" s="447"/>
      <c r="E10" s="4"/>
      <c r="F10" s="4"/>
      <c r="G10" s="8"/>
      <c r="H10" s="4"/>
      <c r="I10" s="8"/>
      <c r="J10" s="4"/>
      <c r="K10" s="8"/>
      <c r="L10" s="4"/>
      <c r="M10" s="8"/>
      <c r="N10" s="4"/>
      <c r="O10" s="8"/>
      <c r="P10" s="4"/>
      <c r="Q10" s="8"/>
      <c r="R10" s="4"/>
      <c r="S10" s="4"/>
      <c r="T10" s="8"/>
      <c r="U10" s="4"/>
      <c r="V10" s="8"/>
      <c r="X10" s="8"/>
    </row>
    <row r="11" spans="1:28" ht="13.5" customHeight="1" x14ac:dyDescent="0.2">
      <c r="B11" s="82"/>
      <c r="C11" s="82"/>
      <c r="D11" s="82"/>
      <c r="E11" s="4"/>
      <c r="F11" s="4"/>
      <c r="G11" s="8"/>
      <c r="H11" s="4"/>
      <c r="I11" s="8"/>
      <c r="J11" s="4"/>
      <c r="K11" s="8"/>
      <c r="L11" s="4"/>
      <c r="M11" s="8"/>
      <c r="N11" s="4"/>
      <c r="O11" s="8"/>
      <c r="P11" s="4"/>
      <c r="Q11" s="8"/>
      <c r="R11" s="4"/>
      <c r="S11" s="4"/>
      <c r="T11" s="8"/>
      <c r="U11" s="4"/>
      <c r="V11" s="8"/>
      <c r="X11" s="8"/>
    </row>
    <row r="12" spans="1:28" ht="13.5" customHeight="1" x14ac:dyDescent="0.2">
      <c r="B12" s="83" t="s">
        <v>42</v>
      </c>
      <c r="C12" s="19"/>
      <c r="D12" s="19"/>
      <c r="E12" s="4"/>
      <c r="F12" s="4"/>
      <c r="G12" s="8"/>
      <c r="H12" s="4"/>
      <c r="I12" s="8"/>
      <c r="J12" s="4"/>
      <c r="K12" s="8"/>
      <c r="L12" s="4"/>
      <c r="M12" s="8"/>
      <c r="N12" s="4"/>
      <c r="O12" s="8"/>
      <c r="P12" s="4"/>
      <c r="Q12" s="8"/>
      <c r="R12" s="4"/>
      <c r="S12" s="4"/>
      <c r="T12" s="8"/>
      <c r="U12" s="4"/>
      <c r="V12" s="8"/>
      <c r="X12" s="8"/>
    </row>
    <row r="13" spans="1:28" ht="13.5" customHeight="1" x14ac:dyDescent="0.2">
      <c r="B13" s="82"/>
      <c r="C13" s="82"/>
      <c r="D13" s="82"/>
      <c r="E13" s="4"/>
      <c r="G13" s="8"/>
      <c r="I13" s="8"/>
      <c r="K13" s="8"/>
      <c r="M13" s="8"/>
      <c r="O13" s="8"/>
      <c r="Q13" s="8"/>
      <c r="S13" s="4"/>
      <c r="T13" s="8"/>
      <c r="U13" s="4"/>
      <c r="V13" s="8"/>
      <c r="X13" s="8"/>
    </row>
    <row r="14" spans="1:28" ht="13.5" customHeight="1" x14ac:dyDescent="0.2">
      <c r="B14" s="6" t="s">
        <v>125</v>
      </c>
    </row>
    <row r="15" spans="1:28" ht="13.5" customHeight="1" x14ac:dyDescent="0.2">
      <c r="B15" s="6" t="s">
        <v>135</v>
      </c>
    </row>
    <row r="16" spans="1:28" ht="13.5" customHeight="1" x14ac:dyDescent="0.2">
      <c r="C16" s="398" t="s">
        <v>481</v>
      </c>
      <c r="E16" s="18">
        <v>4000000</v>
      </c>
      <c r="F16" s="18"/>
      <c r="G16" s="18"/>
      <c r="H16" s="18"/>
      <c r="I16" s="18">
        <v>90000</v>
      </c>
      <c r="J16" s="18"/>
      <c r="K16" s="18"/>
      <c r="L16" s="18"/>
      <c r="M16" s="18">
        <v>130000</v>
      </c>
      <c r="N16" s="18"/>
      <c r="O16" s="18"/>
      <c r="P16" s="18"/>
      <c r="Q16" s="250"/>
      <c r="R16" s="18"/>
      <c r="S16" s="250">
        <v>185000</v>
      </c>
      <c r="T16" s="92"/>
      <c r="U16" s="18">
        <v>925000</v>
      </c>
      <c r="V16" s="92"/>
      <c r="W16" s="237">
        <v>305250</v>
      </c>
      <c r="X16" s="92"/>
      <c r="Y16" s="261">
        <f>E16-SUM(G16:W16)</f>
        <v>2364750</v>
      </c>
      <c r="Z16" s="18"/>
      <c r="AB16" s="6">
        <f>E16-_xlfn.SINGLE(SUM(G16:Y16))</f>
        <v>0</v>
      </c>
    </row>
    <row r="17" spans="2:28" ht="13.5" customHeight="1" x14ac:dyDescent="0.2">
      <c r="C17" s="398" t="s">
        <v>482</v>
      </c>
      <c r="E17" s="239">
        <v>70000</v>
      </c>
      <c r="F17" s="239"/>
      <c r="G17" s="239"/>
      <c r="H17" s="239"/>
      <c r="I17" s="239"/>
      <c r="J17" s="239"/>
      <c r="K17" s="239"/>
      <c r="L17" s="239"/>
      <c r="M17" s="239"/>
      <c r="N17" s="239"/>
      <c r="O17" s="239"/>
      <c r="P17" s="239"/>
      <c r="Q17" s="275">
        <v>25000</v>
      </c>
      <c r="R17" s="239"/>
      <c r="S17" s="275">
        <v>1500</v>
      </c>
      <c r="T17" s="288"/>
      <c r="U17" s="6">
        <v>7500</v>
      </c>
      <c r="V17" s="288"/>
      <c r="W17" s="239">
        <v>2475</v>
      </c>
      <c r="X17" s="288"/>
      <c r="Y17" s="240">
        <f>E17-SUM(G17:W17)</f>
        <v>33525</v>
      </c>
      <c r="AB17" s="6">
        <f t="shared" ref="AB17:AB81" si="0">E17-_xlfn.SINGLE(SUM(G17:Y17))</f>
        <v>0</v>
      </c>
    </row>
    <row r="18" spans="2:28" ht="13.5" customHeight="1" x14ac:dyDescent="0.2">
      <c r="C18" s="398" t="s">
        <v>483</v>
      </c>
      <c r="E18" s="239">
        <v>80000</v>
      </c>
      <c r="F18" s="240"/>
      <c r="G18" s="239"/>
      <c r="H18" s="240"/>
      <c r="I18" s="239"/>
      <c r="J18" s="240"/>
      <c r="K18" s="239"/>
      <c r="L18" s="240"/>
      <c r="M18" s="239"/>
      <c r="N18" s="240"/>
      <c r="O18" s="239"/>
      <c r="P18" s="240"/>
      <c r="Q18" s="275"/>
      <c r="R18" s="240"/>
      <c r="S18" s="275">
        <v>3300</v>
      </c>
      <c r="T18" s="239"/>
      <c r="U18" s="240">
        <v>16500</v>
      </c>
      <c r="V18" s="239"/>
      <c r="W18" s="239">
        <v>5445</v>
      </c>
      <c r="X18" s="239"/>
      <c r="Y18" s="240">
        <f>E18-SUM(G18:W18)</f>
        <v>54755</v>
      </c>
      <c r="AB18" s="6">
        <f t="shared" si="0"/>
        <v>0</v>
      </c>
    </row>
    <row r="19" spans="2:28" ht="13.5" customHeight="1" x14ac:dyDescent="0.2">
      <c r="E19" s="239"/>
      <c r="F19" s="240"/>
      <c r="G19" s="239"/>
      <c r="H19" s="240"/>
      <c r="I19" s="239"/>
      <c r="J19" s="240"/>
      <c r="K19" s="239"/>
      <c r="L19" s="240"/>
      <c r="M19" s="239"/>
      <c r="N19" s="240"/>
      <c r="O19" s="239"/>
      <c r="P19" s="240"/>
      <c r="Q19" s="239"/>
      <c r="R19" s="240"/>
      <c r="S19" s="275"/>
      <c r="T19" s="239"/>
      <c r="U19" s="240"/>
      <c r="V19" s="239"/>
      <c r="W19" s="239"/>
      <c r="X19" s="239"/>
      <c r="Y19" s="240">
        <f>E19-SUM(G19:W19)</f>
        <v>0</v>
      </c>
      <c r="AB19" s="6">
        <f t="shared" si="0"/>
        <v>0</v>
      </c>
    </row>
    <row r="20" spans="2:28" ht="13.5" customHeight="1" x14ac:dyDescent="0.2">
      <c r="E20" s="239"/>
      <c r="F20" s="240"/>
      <c r="G20" s="239"/>
      <c r="H20" s="240"/>
      <c r="I20" s="239"/>
      <c r="J20" s="240"/>
      <c r="K20" s="239"/>
      <c r="L20" s="240"/>
      <c r="M20" s="239"/>
      <c r="N20" s="240"/>
      <c r="O20" s="239"/>
      <c r="P20" s="240"/>
      <c r="Q20" s="239"/>
      <c r="R20" s="240"/>
      <c r="S20" s="275"/>
      <c r="T20" s="239"/>
      <c r="U20" s="239"/>
      <c r="V20" s="239"/>
      <c r="W20" s="239"/>
      <c r="X20" s="239"/>
      <c r="Y20" s="239"/>
      <c r="AB20" s="6">
        <f t="shared" si="0"/>
        <v>0</v>
      </c>
    </row>
    <row r="21" spans="2:28" ht="13.5" customHeight="1" x14ac:dyDescent="0.2">
      <c r="C21" s="6" t="s">
        <v>141</v>
      </c>
      <c r="E21" s="276">
        <f>SUM(E14:E20)</f>
        <v>4150000</v>
      </c>
      <c r="F21" s="277"/>
      <c r="G21" s="276">
        <f>SUM(G14:G20)</f>
        <v>0</v>
      </c>
      <c r="H21" s="277"/>
      <c r="I21" s="276">
        <f>SUM(I14:I20)</f>
        <v>90000</v>
      </c>
      <c r="J21" s="277"/>
      <c r="K21" s="276">
        <f>SUM(K14:K20)</f>
        <v>0</v>
      </c>
      <c r="L21" s="277"/>
      <c r="M21" s="276">
        <f>SUM(M14:M20)</f>
        <v>130000</v>
      </c>
      <c r="N21" s="277"/>
      <c r="O21" s="276">
        <f>SUM(O14:O20)</f>
        <v>0</v>
      </c>
      <c r="P21" s="277"/>
      <c r="Q21" s="276">
        <f>SUM(Q14:Q20)</f>
        <v>25000</v>
      </c>
      <c r="R21" s="277"/>
      <c r="S21" s="276">
        <f>SUM(S14:S20)</f>
        <v>189800</v>
      </c>
      <c r="T21" s="239"/>
      <c r="U21" s="276">
        <f>SUM(U14:U20)</f>
        <v>949000</v>
      </c>
      <c r="V21" s="239"/>
      <c r="W21" s="276">
        <f>SUM(W14:W20)</f>
        <v>313170</v>
      </c>
      <c r="X21" s="239"/>
      <c r="Y21" s="276">
        <f>SUM(Y14:Y20)</f>
        <v>2453030</v>
      </c>
      <c r="Z21" s="5"/>
      <c r="AB21" s="6">
        <f t="shared" si="0"/>
        <v>0</v>
      </c>
    </row>
    <row r="22" spans="2:28" ht="13.5" customHeight="1" x14ac:dyDescent="0.2">
      <c r="B22" s="82"/>
      <c r="C22" s="82"/>
      <c r="D22" s="82"/>
      <c r="E22" s="277"/>
      <c r="F22" s="240"/>
      <c r="G22" s="278"/>
      <c r="H22" s="240"/>
      <c r="I22" s="278"/>
      <c r="J22" s="240"/>
      <c r="K22" s="278"/>
      <c r="L22" s="240"/>
      <c r="M22" s="278"/>
      <c r="N22" s="240"/>
      <c r="O22" s="278"/>
      <c r="P22" s="240"/>
      <c r="Q22" s="278"/>
      <c r="R22" s="240"/>
      <c r="S22" s="275"/>
      <c r="T22" s="278"/>
      <c r="U22" s="277"/>
      <c r="V22" s="278"/>
      <c r="W22" s="239"/>
      <c r="X22" s="278"/>
      <c r="Y22" s="239"/>
      <c r="AB22" s="6">
        <f t="shared" si="0"/>
        <v>0</v>
      </c>
    </row>
    <row r="23" spans="2:28" ht="13.5" customHeight="1" x14ac:dyDescent="0.2">
      <c r="B23" s="6" t="s">
        <v>43</v>
      </c>
      <c r="E23" s="239"/>
      <c r="F23" s="240"/>
      <c r="G23" s="239"/>
      <c r="H23" s="240"/>
      <c r="I23" s="239"/>
      <c r="J23" s="240"/>
      <c r="K23" s="239"/>
      <c r="L23" s="240"/>
      <c r="M23" s="239"/>
      <c r="N23" s="240"/>
      <c r="O23" s="239"/>
      <c r="P23" s="240"/>
      <c r="Q23" s="239"/>
      <c r="R23" s="240"/>
      <c r="S23" s="279"/>
      <c r="T23" s="239"/>
      <c r="U23" s="239"/>
      <c r="V23" s="239"/>
      <c r="W23" s="239"/>
      <c r="X23" s="239"/>
      <c r="Y23" s="239"/>
      <c r="AB23" s="6">
        <f t="shared" si="0"/>
        <v>0</v>
      </c>
    </row>
    <row r="24" spans="2:28" ht="13.5" customHeight="1" x14ac:dyDescent="0.2">
      <c r="B24" s="6" t="s">
        <v>136</v>
      </c>
      <c r="E24" s="239"/>
      <c r="F24" s="240"/>
      <c r="G24" s="239"/>
      <c r="H24" s="240"/>
      <c r="I24" s="239"/>
      <c r="J24" s="240"/>
      <c r="K24" s="239"/>
      <c r="L24" s="240"/>
      <c r="M24" s="239"/>
      <c r="N24" s="240"/>
      <c r="O24" s="239"/>
      <c r="P24" s="240"/>
      <c r="Q24" s="239"/>
      <c r="R24" s="240"/>
      <c r="S24" s="279"/>
      <c r="T24" s="239"/>
      <c r="U24" s="239"/>
      <c r="V24" s="239"/>
      <c r="W24" s="239"/>
      <c r="X24" s="239"/>
      <c r="Y24" s="240"/>
      <c r="AB24" s="6">
        <f t="shared" si="0"/>
        <v>0</v>
      </c>
    </row>
    <row r="25" spans="2:28" ht="13.5" customHeight="1" x14ac:dyDescent="0.2">
      <c r="C25" s="398" t="s">
        <v>484</v>
      </c>
      <c r="E25" s="398">
        <v>5000000</v>
      </c>
      <c r="F25" s="240"/>
      <c r="G25" s="239">
        <v>59500</v>
      </c>
      <c r="H25" s="240"/>
      <c r="I25" s="288">
        <v>2156800</v>
      </c>
      <c r="J25" s="240"/>
      <c r="K25" s="288"/>
      <c r="L25" s="240"/>
      <c r="M25" s="288"/>
      <c r="N25" s="240"/>
      <c r="O25" s="288"/>
      <c r="P25" s="240"/>
      <c r="Q25" s="279"/>
      <c r="R25" s="240"/>
      <c r="S25" s="279">
        <v>126460</v>
      </c>
      <c r="T25" s="239"/>
      <c r="U25" s="240">
        <v>632300</v>
      </c>
      <c r="V25" s="239"/>
      <c r="W25" s="239">
        <v>208659</v>
      </c>
      <c r="X25" s="239"/>
      <c r="Y25" s="240">
        <f t="shared" ref="Y25:Y28" si="1">E25-SUM(G25:W25)</f>
        <v>1816281</v>
      </c>
      <c r="AB25" s="6">
        <f t="shared" si="0"/>
        <v>0</v>
      </c>
    </row>
    <row r="26" spans="2:28" ht="13.5" customHeight="1" x14ac:dyDescent="0.2">
      <c r="C26" s="398" t="s">
        <v>485</v>
      </c>
      <c r="E26" s="398">
        <v>300000</v>
      </c>
      <c r="F26" s="240"/>
      <c r="G26" s="288"/>
      <c r="H26" s="240"/>
      <c r="I26" s="288"/>
      <c r="J26" s="240"/>
      <c r="K26" s="288"/>
      <c r="L26" s="240"/>
      <c r="M26" s="288"/>
      <c r="N26" s="240"/>
      <c r="O26" s="288"/>
      <c r="P26" s="240"/>
      <c r="Q26" s="279"/>
      <c r="R26" s="240"/>
      <c r="S26" s="279">
        <v>15000</v>
      </c>
      <c r="T26" s="239"/>
      <c r="U26" s="240">
        <v>75000</v>
      </c>
      <c r="V26" s="239"/>
      <c r="W26" s="239">
        <v>24750</v>
      </c>
      <c r="X26" s="239"/>
      <c r="Y26" s="240">
        <f t="shared" si="1"/>
        <v>185250</v>
      </c>
      <c r="AB26" s="6">
        <f t="shared" si="0"/>
        <v>0</v>
      </c>
    </row>
    <row r="27" spans="2:28" ht="13.5" customHeight="1" x14ac:dyDescent="0.2">
      <c r="C27" s="398" t="s">
        <v>486</v>
      </c>
      <c r="E27" s="398">
        <v>800000</v>
      </c>
      <c r="F27" s="240"/>
      <c r="G27" s="288"/>
      <c r="H27" s="240"/>
      <c r="I27" s="288"/>
      <c r="J27" s="240"/>
      <c r="K27" s="288"/>
      <c r="L27" s="240"/>
      <c r="M27" s="288"/>
      <c r="N27" s="240"/>
      <c r="O27" s="288"/>
      <c r="P27" s="240"/>
      <c r="Q27" s="279"/>
      <c r="R27" s="240"/>
      <c r="S27" s="279">
        <v>36850</v>
      </c>
      <c r="T27" s="239"/>
      <c r="U27" s="240">
        <v>184250</v>
      </c>
      <c r="V27" s="239"/>
      <c r="W27" s="239">
        <v>60802.5</v>
      </c>
      <c r="X27" s="239"/>
      <c r="Y27" s="240">
        <f t="shared" si="1"/>
        <v>518097.5</v>
      </c>
      <c r="AB27" s="6">
        <f t="shared" si="0"/>
        <v>0</v>
      </c>
    </row>
    <row r="28" spans="2:28" ht="13.5" customHeight="1" x14ac:dyDescent="0.2">
      <c r="C28" s="398" t="s">
        <v>487</v>
      </c>
      <c r="E28" s="398">
        <v>350000</v>
      </c>
      <c r="F28" s="277"/>
      <c r="G28" s="239"/>
      <c r="H28" s="277"/>
      <c r="I28" s="239"/>
      <c r="J28" s="277"/>
      <c r="K28" s="239"/>
      <c r="L28" s="277"/>
      <c r="M28" s="239"/>
      <c r="N28" s="277"/>
      <c r="O28" s="239"/>
      <c r="P28" s="277"/>
      <c r="Q28" s="279"/>
      <c r="R28" s="277"/>
      <c r="S28" s="279">
        <v>14500</v>
      </c>
      <c r="T28" s="239"/>
      <c r="U28" s="240">
        <v>72500</v>
      </c>
      <c r="V28" s="239"/>
      <c r="W28" s="239">
        <v>23925</v>
      </c>
      <c r="X28" s="239"/>
      <c r="Y28" s="240">
        <f t="shared" si="1"/>
        <v>239075</v>
      </c>
      <c r="AB28" s="6">
        <f t="shared" si="0"/>
        <v>0</v>
      </c>
    </row>
    <row r="29" spans="2:28" ht="13.5" customHeight="1" x14ac:dyDescent="0.2">
      <c r="E29" s="239"/>
      <c r="F29" s="289"/>
      <c r="G29" s="239"/>
      <c r="H29" s="289"/>
      <c r="I29" s="239"/>
      <c r="J29" s="289"/>
      <c r="K29" s="239"/>
      <c r="L29" s="289"/>
      <c r="M29" s="239"/>
      <c r="N29" s="289"/>
      <c r="O29" s="239"/>
      <c r="P29" s="289"/>
      <c r="Q29" s="239"/>
      <c r="R29" s="289"/>
      <c r="S29" s="279"/>
      <c r="T29" s="239"/>
      <c r="U29" s="239"/>
      <c r="V29" s="239"/>
      <c r="W29" s="239"/>
      <c r="X29" s="239"/>
      <c r="Y29" s="239"/>
      <c r="AB29" s="6">
        <f t="shared" si="0"/>
        <v>0</v>
      </c>
    </row>
    <row r="30" spans="2:28" ht="13.5" customHeight="1" x14ac:dyDescent="0.2">
      <c r="C30" s="6" t="s">
        <v>142</v>
      </c>
      <c r="E30" s="276">
        <f>SUM(E23:E29)</f>
        <v>6450000</v>
      </c>
      <c r="F30" s="289"/>
      <c r="G30" s="276">
        <f>SUM(G23:G29)</f>
        <v>59500</v>
      </c>
      <c r="H30" s="289"/>
      <c r="I30" s="276">
        <f>SUM(I23:I29)</f>
        <v>2156800</v>
      </c>
      <c r="J30" s="289"/>
      <c r="K30" s="276">
        <f>SUM(K23:K29)</f>
        <v>0</v>
      </c>
      <c r="L30" s="289"/>
      <c r="M30" s="276">
        <f>SUM(M23:M29)</f>
        <v>0</v>
      </c>
      <c r="N30" s="289"/>
      <c r="O30" s="276">
        <f>SUM(O23:O29)</f>
        <v>0</v>
      </c>
      <c r="P30" s="289"/>
      <c r="Q30" s="276">
        <f>SUM(Q23:Q29)</f>
        <v>0</v>
      </c>
      <c r="R30" s="289"/>
      <c r="S30" s="276">
        <f>SUM(S23:S29)</f>
        <v>192810</v>
      </c>
      <c r="T30" s="239"/>
      <c r="U30" s="276">
        <f>SUM(U23:U29)</f>
        <v>964050</v>
      </c>
      <c r="V30" s="239"/>
      <c r="W30" s="276">
        <f>SUM(W23:W29)</f>
        <v>318136.5</v>
      </c>
      <c r="X30" s="239"/>
      <c r="Y30" s="276">
        <f>SUM(Y23:Y29)</f>
        <v>2758703.5</v>
      </c>
      <c r="Z30" s="5"/>
      <c r="AB30" s="6">
        <f t="shared" si="0"/>
        <v>0</v>
      </c>
    </row>
    <row r="31" spans="2:28" ht="13.5" customHeight="1" x14ac:dyDescent="0.2">
      <c r="E31" s="240"/>
      <c r="F31" s="277"/>
      <c r="G31" s="240"/>
      <c r="H31" s="277"/>
      <c r="I31" s="240"/>
      <c r="J31" s="277"/>
      <c r="K31" s="240"/>
      <c r="L31" s="277"/>
      <c r="M31" s="240"/>
      <c r="N31" s="277"/>
      <c r="O31" s="240"/>
      <c r="P31" s="277"/>
      <c r="Q31" s="240"/>
      <c r="R31" s="277"/>
      <c r="S31" s="240"/>
      <c r="T31" s="239"/>
      <c r="U31" s="240"/>
      <c r="V31" s="239"/>
      <c r="W31" s="239"/>
      <c r="X31" s="239"/>
      <c r="Y31" s="239"/>
      <c r="AB31" s="6">
        <f t="shared" si="0"/>
        <v>0</v>
      </c>
    </row>
    <row r="32" spans="2:28" ht="13.5" customHeight="1" x14ac:dyDescent="0.2">
      <c r="B32" s="84" t="s">
        <v>126</v>
      </c>
      <c r="E32" s="239"/>
      <c r="F32" s="277"/>
      <c r="G32" s="239"/>
      <c r="H32" s="277"/>
      <c r="I32" s="239"/>
      <c r="J32" s="277"/>
      <c r="K32" s="239"/>
      <c r="L32" s="277"/>
      <c r="M32" s="239"/>
      <c r="N32" s="277"/>
      <c r="O32" s="239"/>
      <c r="P32" s="277"/>
      <c r="Q32" s="239"/>
      <c r="R32" s="277"/>
      <c r="S32" s="279"/>
      <c r="T32" s="239"/>
      <c r="U32" s="239"/>
      <c r="V32" s="239"/>
      <c r="W32" s="239"/>
      <c r="X32" s="239"/>
      <c r="Y32" s="239"/>
      <c r="AB32" s="6">
        <f t="shared" si="0"/>
        <v>0</v>
      </c>
    </row>
    <row r="33" spans="2:28" ht="13.5" customHeight="1" x14ac:dyDescent="0.2">
      <c r="E33" s="239"/>
      <c r="F33" s="240"/>
      <c r="G33" s="239"/>
      <c r="H33" s="240"/>
      <c r="I33" s="239"/>
      <c r="J33" s="240"/>
      <c r="K33" s="239"/>
      <c r="L33" s="240"/>
      <c r="M33" s="239"/>
      <c r="N33" s="240"/>
      <c r="O33" s="239"/>
      <c r="P33" s="240"/>
      <c r="Q33" s="239"/>
      <c r="R33" s="240"/>
      <c r="S33" s="279"/>
      <c r="T33" s="239"/>
      <c r="U33" s="239"/>
      <c r="V33" s="239"/>
      <c r="W33" s="239"/>
      <c r="X33" s="239"/>
      <c r="Y33" s="239"/>
      <c r="AB33" s="6">
        <f t="shared" si="0"/>
        <v>0</v>
      </c>
    </row>
    <row r="34" spans="2:28" ht="13.5" customHeight="1" x14ac:dyDescent="0.2">
      <c r="B34" s="6" t="s">
        <v>43</v>
      </c>
      <c r="E34" s="239"/>
      <c r="F34" s="240"/>
      <c r="G34" s="239"/>
      <c r="H34" s="240"/>
      <c r="I34" s="239"/>
      <c r="J34" s="240"/>
      <c r="K34" s="239"/>
      <c r="L34" s="240"/>
      <c r="M34" s="239"/>
      <c r="N34" s="240"/>
      <c r="O34" s="239"/>
      <c r="P34" s="240"/>
      <c r="Q34" s="239"/>
      <c r="R34" s="240"/>
      <c r="S34" s="279"/>
      <c r="T34" s="239"/>
      <c r="U34" s="239"/>
      <c r="V34" s="239"/>
      <c r="W34" s="239"/>
      <c r="X34" s="239"/>
      <c r="Y34" s="240"/>
      <c r="AB34" s="6">
        <f t="shared" si="0"/>
        <v>0</v>
      </c>
    </row>
    <row r="35" spans="2:28" ht="13.5" customHeight="1" x14ac:dyDescent="0.2">
      <c r="C35" s="398" t="s">
        <v>489</v>
      </c>
      <c r="E35" s="398">
        <v>450000</v>
      </c>
      <c r="F35" s="240"/>
      <c r="G35" s="239"/>
      <c r="H35" s="240"/>
      <c r="I35" s="239"/>
      <c r="J35" s="240"/>
      <c r="K35" s="239"/>
      <c r="L35" s="240"/>
      <c r="M35" s="239"/>
      <c r="N35" s="240"/>
      <c r="O35" s="239"/>
      <c r="P35" s="240"/>
      <c r="Q35" s="279"/>
      <c r="R35" s="240"/>
      <c r="S35" s="279">
        <v>16538</v>
      </c>
      <c r="T35" s="239"/>
      <c r="U35" s="240">
        <v>82688.75</v>
      </c>
      <c r="V35" s="239"/>
      <c r="W35" s="239">
        <v>27287.287500000002</v>
      </c>
      <c r="X35" s="239"/>
      <c r="Y35" s="240">
        <f t="shared" ref="Y35:Y38" si="2">E35-SUM(G35:W35)</f>
        <v>323485.96250000002</v>
      </c>
      <c r="AB35" s="6">
        <f t="shared" si="0"/>
        <v>0</v>
      </c>
    </row>
    <row r="36" spans="2:28" ht="13.5" customHeight="1" x14ac:dyDescent="0.2">
      <c r="C36" s="398" t="s">
        <v>490</v>
      </c>
      <c r="E36" s="398">
        <v>100000</v>
      </c>
      <c r="F36" s="240"/>
      <c r="G36" s="239"/>
      <c r="H36" s="240"/>
      <c r="I36" s="239"/>
      <c r="J36" s="240"/>
      <c r="K36" s="239"/>
      <c r="L36" s="240"/>
      <c r="M36" s="239"/>
      <c r="N36" s="240"/>
      <c r="O36" s="239"/>
      <c r="P36" s="240"/>
      <c r="Q36" s="279"/>
      <c r="R36" s="240"/>
      <c r="S36" s="279">
        <v>4750</v>
      </c>
      <c r="T36" s="239"/>
      <c r="U36" s="240">
        <v>23750</v>
      </c>
      <c r="V36" s="239"/>
      <c r="W36" s="239">
        <v>7837.5</v>
      </c>
      <c r="X36" s="239"/>
      <c r="Y36" s="240">
        <f t="shared" si="2"/>
        <v>63662.5</v>
      </c>
      <c r="AB36" s="6">
        <f t="shared" si="0"/>
        <v>0</v>
      </c>
    </row>
    <row r="37" spans="2:28" ht="13.5" customHeight="1" x14ac:dyDescent="0.2">
      <c r="C37" s="398" t="s">
        <v>491</v>
      </c>
      <c r="E37" s="398">
        <v>87000</v>
      </c>
      <c r="F37" s="240"/>
      <c r="G37" s="239"/>
      <c r="H37" s="240"/>
      <c r="I37" s="239"/>
      <c r="J37" s="240"/>
      <c r="K37" s="239"/>
      <c r="L37" s="240"/>
      <c r="M37" s="239">
        <v>50000</v>
      </c>
      <c r="N37" s="240"/>
      <c r="O37" s="239"/>
      <c r="P37" s="240"/>
      <c r="Q37" s="279"/>
      <c r="R37" s="240"/>
      <c r="S37" s="279">
        <v>1700</v>
      </c>
      <c r="T37" s="239"/>
      <c r="U37" s="240">
        <v>8500</v>
      </c>
      <c r="V37" s="239"/>
      <c r="W37" s="239">
        <v>2805</v>
      </c>
      <c r="X37" s="239"/>
      <c r="Y37" s="240">
        <f t="shared" si="2"/>
        <v>23995</v>
      </c>
      <c r="AB37" s="6">
        <f t="shared" si="0"/>
        <v>0</v>
      </c>
    </row>
    <row r="38" spans="2:28" ht="13.5" customHeight="1" x14ac:dyDescent="0.2">
      <c r="C38" s="398" t="s">
        <v>492</v>
      </c>
      <c r="E38" s="398">
        <v>448000</v>
      </c>
      <c r="F38" s="240"/>
      <c r="G38" s="239"/>
      <c r="H38" s="240"/>
      <c r="I38" s="239"/>
      <c r="J38" s="240"/>
      <c r="K38" s="239"/>
      <c r="L38" s="240"/>
      <c r="M38" s="239"/>
      <c r="N38" s="240"/>
      <c r="O38" s="239"/>
      <c r="P38" s="240"/>
      <c r="Q38" s="279"/>
      <c r="R38" s="240"/>
      <c r="S38" s="279">
        <v>20000</v>
      </c>
      <c r="T38" s="239"/>
      <c r="U38" s="240">
        <v>100000</v>
      </c>
      <c r="V38" s="239"/>
      <c r="W38" s="239">
        <v>33000</v>
      </c>
      <c r="X38" s="239"/>
      <c r="Y38" s="240">
        <f t="shared" si="2"/>
        <v>295000</v>
      </c>
      <c r="AB38" s="6">
        <f t="shared" si="0"/>
        <v>0</v>
      </c>
    </row>
    <row r="39" spans="2:28" ht="13.5" customHeight="1" x14ac:dyDescent="0.2">
      <c r="E39" s="239"/>
      <c r="F39" s="277"/>
      <c r="G39" s="239"/>
      <c r="H39" s="277"/>
      <c r="I39" s="239"/>
      <c r="J39" s="277"/>
      <c r="K39" s="239"/>
      <c r="L39" s="277"/>
      <c r="M39" s="239"/>
      <c r="N39" s="277"/>
      <c r="O39" s="239"/>
      <c r="P39" s="277"/>
      <c r="Q39" s="239"/>
      <c r="R39" s="277"/>
      <c r="S39" s="279"/>
      <c r="T39" s="239"/>
      <c r="U39" s="239"/>
      <c r="V39" s="239"/>
      <c r="W39" s="239"/>
      <c r="X39" s="239"/>
      <c r="Y39" s="239"/>
      <c r="AB39" s="6">
        <f t="shared" si="0"/>
        <v>0</v>
      </c>
    </row>
    <row r="40" spans="2:28" ht="13.5" customHeight="1" x14ac:dyDescent="0.2">
      <c r="C40" s="6" t="s">
        <v>143</v>
      </c>
      <c r="E40" s="276">
        <f>SUM(E34:E39)</f>
        <v>1085000</v>
      </c>
      <c r="F40" s="289"/>
      <c r="G40" s="276">
        <f>SUM(G34:G39)</f>
        <v>0</v>
      </c>
      <c r="H40" s="289"/>
      <c r="I40" s="276">
        <f>SUM(I34:I39)</f>
        <v>0</v>
      </c>
      <c r="J40" s="289"/>
      <c r="K40" s="276">
        <f>SUM(K34:K39)</f>
        <v>0</v>
      </c>
      <c r="L40" s="289"/>
      <c r="M40" s="276">
        <f>SUM(M34:M39)</f>
        <v>50000</v>
      </c>
      <c r="N40" s="289"/>
      <c r="O40" s="276">
        <f>SUM(O34:O39)</f>
        <v>0</v>
      </c>
      <c r="P40" s="289"/>
      <c r="Q40" s="276">
        <f>SUM(Q34:Q39)</f>
        <v>0</v>
      </c>
      <c r="R40" s="289"/>
      <c r="S40" s="276">
        <f>SUM(S34:S39)</f>
        <v>42988</v>
      </c>
      <c r="T40" s="239"/>
      <c r="U40" s="276">
        <f>SUM(U34:U39)</f>
        <v>214938.75</v>
      </c>
      <c r="V40" s="239"/>
      <c r="W40" s="276">
        <f>SUM(W34:W39)</f>
        <v>70929.787500000006</v>
      </c>
      <c r="X40" s="239"/>
      <c r="Y40" s="276">
        <f>SUM(Y34:Y39)</f>
        <v>706143.46250000002</v>
      </c>
      <c r="Z40" s="5"/>
      <c r="AB40" s="6">
        <f t="shared" si="0"/>
        <v>0</v>
      </c>
    </row>
    <row r="41" spans="2:28" ht="13.5" customHeight="1" x14ac:dyDescent="0.2">
      <c r="E41" s="239"/>
      <c r="F41" s="277"/>
      <c r="G41" s="239"/>
      <c r="H41" s="277"/>
      <c r="I41" s="239"/>
      <c r="J41" s="277"/>
      <c r="K41" s="239"/>
      <c r="L41" s="277"/>
      <c r="M41" s="239"/>
      <c r="N41" s="277"/>
      <c r="O41" s="239"/>
      <c r="P41" s="277"/>
      <c r="Q41" s="239"/>
      <c r="R41" s="277"/>
      <c r="S41" s="279"/>
      <c r="T41" s="239"/>
      <c r="U41" s="239"/>
      <c r="V41" s="239"/>
      <c r="W41" s="239"/>
      <c r="X41" s="239"/>
      <c r="Y41" s="239"/>
      <c r="AB41" s="6">
        <f t="shared" si="0"/>
        <v>0</v>
      </c>
    </row>
    <row r="42" spans="2:28" ht="13.5" customHeight="1" x14ac:dyDescent="0.2">
      <c r="B42" s="6" t="s">
        <v>125</v>
      </c>
      <c r="E42" s="239"/>
      <c r="F42" s="277"/>
      <c r="G42" s="239"/>
      <c r="H42" s="277"/>
      <c r="I42" s="239"/>
      <c r="J42" s="277"/>
      <c r="K42" s="239"/>
      <c r="L42" s="277"/>
      <c r="M42" s="239"/>
      <c r="N42" s="277"/>
      <c r="O42" s="239"/>
      <c r="P42" s="277"/>
      <c r="Q42" s="239"/>
      <c r="R42" s="277"/>
      <c r="S42" s="279"/>
      <c r="T42" s="239"/>
      <c r="U42" s="239"/>
      <c r="V42" s="239"/>
      <c r="W42" s="239"/>
      <c r="X42" s="239"/>
      <c r="Y42" s="239"/>
      <c r="AB42" s="6">
        <f t="shared" si="0"/>
        <v>0</v>
      </c>
    </row>
    <row r="43" spans="2:28" ht="13.5" customHeight="1" x14ac:dyDescent="0.2">
      <c r="B43" s="398" t="s">
        <v>522</v>
      </c>
      <c r="C43" s="398"/>
      <c r="D43" s="398"/>
      <c r="E43" s="239"/>
      <c r="F43" s="277"/>
      <c r="G43" s="239"/>
      <c r="H43" s="277"/>
      <c r="I43" s="239"/>
      <c r="J43" s="277"/>
      <c r="K43" s="239"/>
      <c r="L43" s="277"/>
      <c r="M43" s="239"/>
      <c r="N43" s="277"/>
      <c r="O43" s="239"/>
      <c r="P43" s="277"/>
      <c r="Q43" s="239"/>
      <c r="R43" s="277"/>
      <c r="S43" s="279"/>
      <c r="T43" s="239"/>
      <c r="U43" s="239"/>
      <c r="V43" s="239"/>
      <c r="W43" s="239"/>
      <c r="X43" s="239"/>
      <c r="Y43" s="240"/>
      <c r="AB43" s="6">
        <f t="shared" si="0"/>
        <v>0</v>
      </c>
    </row>
    <row r="44" spans="2:28" ht="13.5" customHeight="1" x14ac:dyDescent="0.2">
      <c r="B44" s="398"/>
      <c r="C44" s="398" t="s">
        <v>494</v>
      </c>
      <c r="D44" s="398"/>
      <c r="E44" s="398">
        <v>35000</v>
      </c>
      <c r="F44" s="240"/>
      <c r="G44" s="239"/>
      <c r="H44" s="240"/>
      <c r="I44" s="239"/>
      <c r="J44" s="240"/>
      <c r="K44" s="239"/>
      <c r="L44" s="240"/>
      <c r="M44" s="239"/>
      <c r="N44" s="240"/>
      <c r="O44" s="239"/>
      <c r="P44" s="240"/>
      <c r="Q44" s="279"/>
      <c r="R44" s="240"/>
      <c r="S44" s="279">
        <v>950</v>
      </c>
      <c r="T44" s="239"/>
      <c r="U44" s="240">
        <v>4750</v>
      </c>
      <c r="V44" s="239"/>
      <c r="W44" s="239">
        <v>1568</v>
      </c>
      <c r="X44" s="239"/>
      <c r="Y44" s="240">
        <f t="shared" ref="Y44:Y47" si="3">E44-SUM(G44:W44)</f>
        <v>27732</v>
      </c>
      <c r="AB44" s="6">
        <f t="shared" si="0"/>
        <v>0</v>
      </c>
    </row>
    <row r="45" spans="2:28" ht="13.5" customHeight="1" x14ac:dyDescent="0.2">
      <c r="B45" s="398"/>
      <c r="C45" s="398" t="s">
        <v>495</v>
      </c>
      <c r="D45" s="398"/>
      <c r="E45" s="398">
        <v>89000</v>
      </c>
      <c r="F45" s="275"/>
      <c r="G45" s="239">
        <v>89000</v>
      </c>
      <c r="H45" s="275"/>
      <c r="I45" s="239"/>
      <c r="J45" s="275"/>
      <c r="K45" s="239"/>
      <c r="L45" s="275"/>
      <c r="M45" s="239"/>
      <c r="N45" s="275"/>
      <c r="O45" s="239"/>
      <c r="P45" s="275"/>
      <c r="Q45" s="279"/>
      <c r="R45" s="275"/>
      <c r="S45" s="279"/>
      <c r="T45" s="239"/>
      <c r="U45" s="240"/>
      <c r="V45" s="239"/>
      <c r="W45" s="239"/>
      <c r="X45" s="239"/>
      <c r="Y45" s="240">
        <f t="shared" si="3"/>
        <v>0</v>
      </c>
      <c r="AB45" s="6">
        <f t="shared" si="0"/>
        <v>0</v>
      </c>
    </row>
    <row r="46" spans="2:28" ht="13.5" customHeight="1" x14ac:dyDescent="0.2">
      <c r="B46" s="398" t="s">
        <v>523</v>
      </c>
      <c r="C46" s="398"/>
      <c r="D46" s="398"/>
      <c r="E46" s="398"/>
      <c r="F46" s="275"/>
      <c r="G46" s="239"/>
      <c r="H46" s="275"/>
      <c r="I46" s="239"/>
      <c r="J46" s="275"/>
      <c r="K46" s="239"/>
      <c r="L46" s="275"/>
      <c r="M46" s="239"/>
      <c r="N46" s="275"/>
      <c r="O46" s="239"/>
      <c r="P46" s="275"/>
      <c r="Q46" s="279"/>
      <c r="R46" s="275"/>
      <c r="S46" s="279"/>
      <c r="T46" s="239"/>
      <c r="U46" s="240"/>
      <c r="V46" s="239"/>
      <c r="W46" s="239"/>
      <c r="X46" s="239"/>
      <c r="Y46" s="240">
        <f t="shared" si="3"/>
        <v>0</v>
      </c>
      <c r="AB46" s="6">
        <f t="shared" si="0"/>
        <v>0</v>
      </c>
    </row>
    <row r="47" spans="2:28" ht="13.5" customHeight="1" x14ac:dyDescent="0.2">
      <c r="B47" s="398"/>
      <c r="C47" s="398" t="s">
        <v>496</v>
      </c>
      <c r="D47" s="398"/>
      <c r="E47" s="398">
        <v>37000</v>
      </c>
      <c r="F47" s="275"/>
      <c r="G47" s="239">
        <v>31787</v>
      </c>
      <c r="H47" s="275"/>
      <c r="I47" s="239"/>
      <c r="J47" s="275"/>
      <c r="K47" s="239"/>
      <c r="L47" s="275"/>
      <c r="M47" s="239"/>
      <c r="N47" s="275"/>
      <c r="O47" s="239"/>
      <c r="P47" s="275"/>
      <c r="Q47" s="279"/>
      <c r="R47" s="275"/>
      <c r="S47" s="279">
        <v>261</v>
      </c>
      <c r="T47" s="239"/>
      <c r="U47" s="240">
        <f>5213*0.25</f>
        <v>1303.25</v>
      </c>
      <c r="V47" s="239"/>
      <c r="W47" s="239">
        <f>U47*0.33</f>
        <v>430.07250000000005</v>
      </c>
      <c r="X47" s="239"/>
      <c r="Y47" s="240">
        <f t="shared" si="3"/>
        <v>3218.677499999998</v>
      </c>
      <c r="AB47" s="6">
        <f t="shared" si="0"/>
        <v>0</v>
      </c>
    </row>
    <row r="48" spans="2:28" ht="13.5" customHeight="1" x14ac:dyDescent="0.2">
      <c r="E48" s="239"/>
      <c r="F48" s="240"/>
      <c r="G48" s="239"/>
      <c r="H48" s="240"/>
      <c r="I48" s="239"/>
      <c r="J48" s="240"/>
      <c r="K48" s="239"/>
      <c r="L48" s="240"/>
      <c r="M48" s="239"/>
      <c r="N48" s="240"/>
      <c r="O48" s="239"/>
      <c r="P48" s="240"/>
      <c r="Q48" s="239"/>
      <c r="R48" s="240"/>
      <c r="S48" s="279"/>
      <c r="T48" s="239"/>
      <c r="U48" s="239"/>
      <c r="V48" s="239"/>
      <c r="W48" s="239"/>
      <c r="X48" s="239"/>
      <c r="Y48" s="239"/>
      <c r="AB48" s="6">
        <f t="shared" si="0"/>
        <v>0</v>
      </c>
    </row>
    <row r="49" spans="2:28" ht="13.5" customHeight="1" x14ac:dyDescent="0.2">
      <c r="C49" s="6" t="s">
        <v>144</v>
      </c>
      <c r="E49" s="276">
        <f>SUM(E42:E48)</f>
        <v>161000</v>
      </c>
      <c r="F49" s="240"/>
      <c r="G49" s="276">
        <f>SUM(G42:G48)</f>
        <v>120787</v>
      </c>
      <c r="H49" s="240"/>
      <c r="I49" s="276">
        <f>SUM(I42:I48)</f>
        <v>0</v>
      </c>
      <c r="J49" s="240"/>
      <c r="K49" s="276">
        <f>SUM(K42:K48)</f>
        <v>0</v>
      </c>
      <c r="L49" s="240"/>
      <c r="M49" s="276">
        <f>SUM(M42:M48)</f>
        <v>0</v>
      </c>
      <c r="N49" s="240"/>
      <c r="O49" s="276">
        <f>SUM(O42:O48)</f>
        <v>0</v>
      </c>
      <c r="P49" s="240"/>
      <c r="Q49" s="276">
        <f>SUM(Q42:Q48)</f>
        <v>0</v>
      </c>
      <c r="R49" s="240"/>
      <c r="S49" s="276">
        <f>SUM(S42:S48)</f>
        <v>1211</v>
      </c>
      <c r="T49" s="239"/>
      <c r="U49" s="276">
        <f>SUM(U42:U48)</f>
        <v>6053.25</v>
      </c>
      <c r="V49" s="239"/>
      <c r="W49" s="276">
        <f>SUM(W42:W48)</f>
        <v>1998.0725</v>
      </c>
      <c r="X49" s="239"/>
      <c r="Y49" s="276">
        <f>SUM(Y42:Y48)</f>
        <v>30950.677499999998</v>
      </c>
      <c r="Z49" s="5"/>
      <c r="AB49" s="6">
        <f t="shared" si="0"/>
        <v>0</v>
      </c>
    </row>
    <row r="50" spans="2:28" ht="13.5" customHeight="1" x14ac:dyDescent="0.2">
      <c r="E50" s="239"/>
      <c r="F50" s="240"/>
      <c r="G50" s="239"/>
      <c r="H50" s="240"/>
      <c r="I50" s="239"/>
      <c r="J50" s="240"/>
      <c r="K50" s="239"/>
      <c r="L50" s="240"/>
      <c r="M50" s="239"/>
      <c r="N50" s="240"/>
      <c r="O50" s="239"/>
      <c r="P50" s="240"/>
      <c r="Q50" s="239"/>
      <c r="R50" s="240"/>
      <c r="S50" s="279"/>
      <c r="T50" s="239"/>
      <c r="U50" s="239"/>
      <c r="V50" s="239"/>
      <c r="W50" s="239"/>
      <c r="X50" s="239"/>
      <c r="Y50" s="239"/>
      <c r="AB50" s="6">
        <f t="shared" si="0"/>
        <v>0</v>
      </c>
    </row>
    <row r="51" spans="2:28" ht="13.5" customHeight="1" x14ac:dyDescent="0.2">
      <c r="B51" s="6" t="s">
        <v>227</v>
      </c>
      <c r="E51" s="239"/>
      <c r="F51" s="240"/>
      <c r="G51" s="239"/>
      <c r="H51" s="240"/>
      <c r="I51" s="239"/>
      <c r="J51" s="240"/>
      <c r="K51" s="239"/>
      <c r="L51" s="240"/>
      <c r="M51" s="239"/>
      <c r="N51" s="240"/>
      <c r="O51" s="239"/>
      <c r="P51" s="240"/>
      <c r="Q51" s="239"/>
      <c r="R51" s="240"/>
      <c r="S51" s="279"/>
      <c r="T51" s="239"/>
      <c r="U51" s="239"/>
      <c r="V51" s="239"/>
      <c r="W51" s="239"/>
      <c r="X51" s="239"/>
      <c r="Y51" s="239"/>
      <c r="AB51" s="6">
        <f t="shared" si="0"/>
        <v>0</v>
      </c>
    </row>
    <row r="52" spans="2:28" ht="13.5" customHeight="1" x14ac:dyDescent="0.2">
      <c r="C52" s="398" t="s">
        <v>524</v>
      </c>
      <c r="E52" s="239">
        <v>2300000</v>
      </c>
      <c r="F52" s="240"/>
      <c r="G52" s="239">
        <v>19800</v>
      </c>
      <c r="H52" s="240"/>
      <c r="I52" s="239">
        <v>70000</v>
      </c>
      <c r="J52" s="240"/>
      <c r="K52" s="239"/>
      <c r="L52" s="240"/>
      <c r="M52" s="239"/>
      <c r="N52" s="240"/>
      <c r="O52" s="239"/>
      <c r="P52" s="240"/>
      <c r="Q52" s="239"/>
      <c r="R52" s="240"/>
      <c r="S52" s="279">
        <v>102983</v>
      </c>
      <c r="T52" s="239"/>
      <c r="U52" s="240">
        <v>514915</v>
      </c>
      <c r="V52" s="239"/>
      <c r="W52" s="239">
        <v>169922</v>
      </c>
      <c r="X52" s="239"/>
      <c r="Y52" s="240">
        <f t="shared" ref="Y52:Y55" si="4">E52-SUM(G52:W52)</f>
        <v>1422380</v>
      </c>
      <c r="AB52" s="6">
        <f t="shared" si="0"/>
        <v>0</v>
      </c>
    </row>
    <row r="53" spans="2:28" ht="13.5" customHeight="1" x14ac:dyDescent="0.2">
      <c r="E53" s="239"/>
      <c r="F53" s="240"/>
      <c r="G53" s="239"/>
      <c r="H53" s="240"/>
      <c r="I53" s="239"/>
      <c r="J53" s="240"/>
      <c r="K53" s="239"/>
      <c r="L53" s="240"/>
      <c r="M53" s="239"/>
      <c r="N53" s="240"/>
      <c r="O53" s="239"/>
      <c r="P53" s="240"/>
      <c r="Q53" s="239"/>
      <c r="R53" s="240"/>
      <c r="S53" s="279"/>
      <c r="T53" s="239"/>
      <c r="U53" s="240"/>
      <c r="V53" s="239"/>
      <c r="W53" s="239"/>
      <c r="X53" s="239"/>
      <c r="Y53" s="240">
        <f t="shared" si="4"/>
        <v>0</v>
      </c>
      <c r="AB53" s="6">
        <f t="shared" si="0"/>
        <v>0</v>
      </c>
    </row>
    <row r="54" spans="2:28" ht="13.5" customHeight="1" x14ac:dyDescent="0.2">
      <c r="E54" s="239"/>
      <c r="F54" s="240"/>
      <c r="G54" s="239"/>
      <c r="H54" s="240"/>
      <c r="I54" s="239"/>
      <c r="J54" s="240"/>
      <c r="K54" s="239"/>
      <c r="L54" s="240"/>
      <c r="M54" s="239"/>
      <c r="N54" s="240"/>
      <c r="O54" s="239"/>
      <c r="P54" s="240"/>
      <c r="Q54" s="239"/>
      <c r="R54" s="240"/>
      <c r="S54" s="279"/>
      <c r="T54" s="239"/>
      <c r="U54" s="240"/>
      <c r="V54" s="239"/>
      <c r="W54" s="239"/>
      <c r="X54" s="239"/>
      <c r="Y54" s="240">
        <f t="shared" si="4"/>
        <v>0</v>
      </c>
      <c r="AB54" s="6">
        <f t="shared" si="0"/>
        <v>0</v>
      </c>
    </row>
    <row r="55" spans="2:28" ht="13.5" customHeight="1" x14ac:dyDescent="0.2">
      <c r="E55" s="239"/>
      <c r="F55" s="240"/>
      <c r="G55" s="239"/>
      <c r="H55" s="240"/>
      <c r="I55" s="239"/>
      <c r="J55" s="240"/>
      <c r="K55" s="239"/>
      <c r="L55" s="240"/>
      <c r="M55" s="239"/>
      <c r="N55" s="240"/>
      <c r="O55" s="239"/>
      <c r="P55" s="240"/>
      <c r="Q55" s="239"/>
      <c r="R55" s="240"/>
      <c r="S55" s="279"/>
      <c r="T55" s="239"/>
      <c r="U55" s="240"/>
      <c r="V55" s="239"/>
      <c r="W55" s="239"/>
      <c r="X55" s="239"/>
      <c r="Y55" s="240">
        <f t="shared" si="4"/>
        <v>0</v>
      </c>
      <c r="AB55" s="6">
        <f t="shared" si="0"/>
        <v>0</v>
      </c>
    </row>
    <row r="56" spans="2:28" ht="13.5" customHeight="1" x14ac:dyDescent="0.2">
      <c r="E56" s="239"/>
      <c r="F56" s="240"/>
      <c r="G56" s="239"/>
      <c r="H56" s="240"/>
      <c r="I56" s="239"/>
      <c r="J56" s="240"/>
      <c r="K56" s="239"/>
      <c r="L56" s="240"/>
      <c r="M56" s="239"/>
      <c r="N56" s="240"/>
      <c r="O56" s="239"/>
      <c r="P56" s="240"/>
      <c r="Q56" s="239"/>
      <c r="R56" s="240"/>
      <c r="S56" s="279"/>
      <c r="T56" s="239"/>
      <c r="U56" s="239"/>
      <c r="V56" s="239"/>
      <c r="W56" s="239"/>
      <c r="X56" s="239"/>
      <c r="Y56" s="239"/>
      <c r="AB56" s="6">
        <f t="shared" si="0"/>
        <v>0</v>
      </c>
    </row>
    <row r="57" spans="2:28" ht="13.5" customHeight="1" x14ac:dyDescent="0.2">
      <c r="C57" s="6" t="s">
        <v>357</v>
      </c>
      <c r="E57" s="276">
        <f>SUM(E51:E56)</f>
        <v>2300000</v>
      </c>
      <c r="F57" s="275"/>
      <c r="G57" s="276">
        <f>SUM(G51:G56)</f>
        <v>19800</v>
      </c>
      <c r="H57" s="275"/>
      <c r="I57" s="276">
        <f>SUM(I51:I56)</f>
        <v>70000</v>
      </c>
      <c r="J57" s="275"/>
      <c r="K57" s="276">
        <f>SUM(K51:K56)</f>
        <v>0</v>
      </c>
      <c r="L57" s="275"/>
      <c r="M57" s="276">
        <f>SUM(M51:M56)</f>
        <v>0</v>
      </c>
      <c r="N57" s="275"/>
      <c r="O57" s="276">
        <f>SUM(O51:O56)</f>
        <v>0</v>
      </c>
      <c r="P57" s="275"/>
      <c r="Q57" s="276">
        <f>SUM(Q51:Q56)</f>
        <v>0</v>
      </c>
      <c r="R57" s="275"/>
      <c r="S57" s="276">
        <f>SUM(S51:S56)</f>
        <v>102983</v>
      </c>
      <c r="T57" s="239"/>
      <c r="U57" s="276">
        <f>SUM(U51:U56)</f>
        <v>514915</v>
      </c>
      <c r="V57" s="239"/>
      <c r="W57" s="276">
        <f>SUM(W51:W56)</f>
        <v>169922</v>
      </c>
      <c r="X57" s="239"/>
      <c r="Y57" s="276">
        <f>SUM(Y51:Y56)</f>
        <v>1422380</v>
      </c>
      <c r="Z57" s="5"/>
      <c r="AB57" s="6">
        <f t="shared" si="0"/>
        <v>0</v>
      </c>
    </row>
    <row r="58" spans="2:28" ht="13.5" customHeight="1" x14ac:dyDescent="0.2">
      <c r="E58" s="239"/>
      <c r="F58" s="240"/>
      <c r="G58" s="239"/>
      <c r="H58" s="240"/>
      <c r="I58" s="239"/>
      <c r="J58" s="240"/>
      <c r="K58" s="239"/>
      <c r="L58" s="240"/>
      <c r="M58" s="239"/>
      <c r="N58" s="240"/>
      <c r="O58" s="239"/>
      <c r="P58" s="240"/>
      <c r="Q58" s="239"/>
      <c r="R58" s="240"/>
      <c r="S58" s="279"/>
      <c r="T58" s="239"/>
      <c r="U58" s="239"/>
      <c r="V58" s="239"/>
      <c r="W58" s="239"/>
      <c r="X58" s="239"/>
      <c r="Y58" s="239"/>
      <c r="AB58" s="6">
        <f t="shared" si="0"/>
        <v>0</v>
      </c>
    </row>
    <row r="59" spans="2:28" ht="13.5" customHeight="1" x14ac:dyDescent="0.2">
      <c r="B59" s="6" t="s">
        <v>44</v>
      </c>
      <c r="E59" s="239"/>
      <c r="F59" s="240"/>
      <c r="G59" s="239"/>
      <c r="H59" s="240"/>
      <c r="I59" s="239"/>
      <c r="J59" s="240"/>
      <c r="K59" s="239"/>
      <c r="L59" s="240"/>
      <c r="M59" s="239"/>
      <c r="N59" s="240"/>
      <c r="O59" s="239"/>
      <c r="P59" s="240"/>
      <c r="Q59" s="239"/>
      <c r="R59" s="240"/>
      <c r="S59" s="239"/>
      <c r="T59" s="239"/>
      <c r="U59" s="239"/>
      <c r="V59" s="239"/>
      <c r="W59" s="239"/>
      <c r="X59" s="239"/>
      <c r="Y59" s="239"/>
      <c r="AB59" s="6">
        <f t="shared" si="0"/>
        <v>0</v>
      </c>
    </row>
    <row r="60" spans="2:28" ht="13.5" customHeight="1" x14ac:dyDescent="0.2">
      <c r="B60" s="398" t="s">
        <v>525</v>
      </c>
      <c r="C60" s="398"/>
      <c r="E60" s="239"/>
      <c r="F60" s="240"/>
      <c r="G60" s="239"/>
      <c r="H60" s="240"/>
      <c r="I60" s="239"/>
      <c r="J60" s="240"/>
      <c r="K60" s="239"/>
      <c r="L60" s="240"/>
      <c r="M60" s="239"/>
      <c r="N60" s="240"/>
      <c r="O60" s="239"/>
      <c r="P60" s="240"/>
      <c r="Q60" s="239"/>
      <c r="R60" s="240"/>
      <c r="S60" s="239"/>
      <c r="T60" s="239"/>
      <c r="U60" s="240"/>
      <c r="V60" s="239"/>
      <c r="W60" s="239"/>
      <c r="X60" s="239"/>
      <c r="Y60" s="240"/>
      <c r="AB60" s="6">
        <f t="shared" si="0"/>
        <v>0</v>
      </c>
    </row>
    <row r="61" spans="2:28" ht="13.5" customHeight="1" x14ac:dyDescent="0.2">
      <c r="B61" s="398"/>
      <c r="C61" s="398" t="s">
        <v>498</v>
      </c>
      <c r="E61" s="398">
        <v>48000</v>
      </c>
      <c r="F61" s="398"/>
      <c r="G61" s="398"/>
      <c r="H61" s="275"/>
      <c r="I61" s="239"/>
      <c r="J61" s="275"/>
      <c r="K61" s="239"/>
      <c r="L61" s="275"/>
      <c r="M61" s="239"/>
      <c r="N61" s="275"/>
      <c r="O61" s="239"/>
      <c r="P61" s="275"/>
      <c r="Q61" s="239"/>
      <c r="R61" s="275"/>
      <c r="S61" s="239">
        <v>2400</v>
      </c>
      <c r="T61" s="239"/>
      <c r="U61" s="240">
        <v>12000</v>
      </c>
      <c r="V61" s="239"/>
      <c r="W61" s="239">
        <v>3960</v>
      </c>
      <c r="X61" s="239"/>
      <c r="Y61" s="240">
        <f t="shared" ref="Y61:Y63" si="5">E61-SUM(G61:W61)</f>
        <v>29640</v>
      </c>
      <c r="AB61" s="6">
        <f t="shared" si="0"/>
        <v>0</v>
      </c>
    </row>
    <row r="62" spans="2:28" ht="13.5" customHeight="1" x14ac:dyDescent="0.2">
      <c r="B62" s="398"/>
      <c r="C62" s="398" t="s">
        <v>499</v>
      </c>
      <c r="E62" s="398">
        <v>8500</v>
      </c>
      <c r="F62" s="398"/>
      <c r="G62" s="398"/>
      <c r="H62" s="275"/>
      <c r="I62" s="239"/>
      <c r="J62" s="275"/>
      <c r="K62" s="239"/>
      <c r="L62" s="275"/>
      <c r="M62" s="239"/>
      <c r="N62" s="275"/>
      <c r="O62" s="239"/>
      <c r="P62" s="275"/>
      <c r="Q62" s="239"/>
      <c r="R62" s="275"/>
      <c r="S62" s="239">
        <v>425</v>
      </c>
      <c r="T62" s="239"/>
      <c r="U62" s="240">
        <v>2125</v>
      </c>
      <c r="V62" s="239"/>
      <c r="W62" s="239">
        <v>701.25</v>
      </c>
      <c r="X62" s="239"/>
      <c r="Y62" s="240">
        <f t="shared" ref="Y62" si="6">E62-SUM(G62:W62)</f>
        <v>5248.75</v>
      </c>
      <c r="AB62" s="6">
        <f t="shared" ref="AB62" si="7">E62-_xlfn.SINGLE(SUM(G62:Y62))</f>
        <v>0</v>
      </c>
    </row>
    <row r="63" spans="2:28" ht="13.5" customHeight="1" x14ac:dyDescent="0.2">
      <c r="B63" s="398"/>
      <c r="C63" s="398" t="s">
        <v>501</v>
      </c>
      <c r="E63" s="398">
        <v>200000</v>
      </c>
      <c r="F63" s="398"/>
      <c r="G63" s="398">
        <v>200000</v>
      </c>
      <c r="H63" s="275"/>
      <c r="I63" s="239"/>
      <c r="J63" s="275"/>
      <c r="K63" s="239"/>
      <c r="L63" s="275"/>
      <c r="M63" s="239"/>
      <c r="N63" s="275"/>
      <c r="O63" s="239"/>
      <c r="P63" s="275"/>
      <c r="Q63" s="239"/>
      <c r="R63" s="275"/>
      <c r="S63" s="239"/>
      <c r="T63" s="239"/>
      <c r="U63" s="240"/>
      <c r="V63" s="239"/>
      <c r="W63" s="239"/>
      <c r="X63" s="239"/>
      <c r="Y63" s="240">
        <f t="shared" si="5"/>
        <v>0</v>
      </c>
      <c r="AB63" s="6">
        <f t="shared" si="0"/>
        <v>0</v>
      </c>
    </row>
    <row r="64" spans="2:28" ht="13.5" customHeight="1" x14ac:dyDescent="0.2">
      <c r="B64" s="398"/>
      <c r="C64" s="398" t="s">
        <v>526</v>
      </c>
      <c r="E64" s="398">
        <v>95000</v>
      </c>
      <c r="F64" s="398"/>
      <c r="G64" s="398"/>
      <c r="H64" s="275"/>
      <c r="I64" s="239"/>
      <c r="J64" s="275"/>
      <c r="K64" s="239"/>
      <c r="L64" s="275"/>
      <c r="M64" s="239"/>
      <c r="N64" s="275"/>
      <c r="O64" s="239"/>
      <c r="P64" s="275"/>
      <c r="Q64" s="239"/>
      <c r="R64" s="275"/>
      <c r="S64" s="239">
        <v>4750</v>
      </c>
      <c r="T64" s="239"/>
      <c r="U64" s="240">
        <v>23750</v>
      </c>
      <c r="V64" s="239"/>
      <c r="W64" s="239">
        <v>7837.5</v>
      </c>
      <c r="X64" s="239"/>
      <c r="Y64" s="240">
        <f t="shared" ref="Y64" si="8">E64-SUM(G64:W64)</f>
        <v>58662.5</v>
      </c>
      <c r="AB64" s="6">
        <f t="shared" ref="AB64" si="9">E64-_xlfn.SINGLE(SUM(G64:Y64))</f>
        <v>0</v>
      </c>
    </row>
    <row r="65" spans="2:30" ht="13.5" customHeight="1" x14ac:dyDescent="0.2">
      <c r="B65" s="398"/>
      <c r="C65" s="398"/>
      <c r="E65" s="239"/>
      <c r="F65" s="275"/>
      <c r="G65" s="239"/>
      <c r="H65" s="275"/>
      <c r="I65" s="239"/>
      <c r="J65" s="275"/>
      <c r="K65" s="239"/>
      <c r="L65" s="275"/>
      <c r="M65" s="239"/>
      <c r="N65" s="275"/>
      <c r="O65" s="239"/>
      <c r="P65" s="275"/>
      <c r="Q65" s="239"/>
      <c r="R65" s="275"/>
      <c r="S65" s="239"/>
      <c r="T65" s="239"/>
      <c r="U65" s="239"/>
      <c r="V65" s="239"/>
      <c r="W65" s="239"/>
      <c r="X65" s="239"/>
      <c r="Y65" s="239"/>
      <c r="AB65" s="6">
        <f t="shared" si="0"/>
        <v>0</v>
      </c>
    </row>
    <row r="66" spans="2:30" ht="13.5" customHeight="1" x14ac:dyDescent="0.2">
      <c r="C66" s="6" t="s">
        <v>358</v>
      </c>
      <c r="E66" s="276">
        <f>SUM(E59:E65)</f>
        <v>351500</v>
      </c>
      <c r="F66" s="240"/>
      <c r="G66" s="276">
        <f>SUM(G59:G65)</f>
        <v>200000</v>
      </c>
      <c r="H66" s="240"/>
      <c r="I66" s="276">
        <f>SUM(I59:I65)</f>
        <v>0</v>
      </c>
      <c r="J66" s="240"/>
      <c r="K66" s="276">
        <f>SUM(K59:K65)</f>
        <v>0</v>
      </c>
      <c r="L66" s="240"/>
      <c r="M66" s="276">
        <f>SUM(M59:M65)</f>
        <v>0</v>
      </c>
      <c r="N66" s="240"/>
      <c r="O66" s="276">
        <f>SUM(O59:O65)</f>
        <v>0</v>
      </c>
      <c r="P66" s="240"/>
      <c r="Q66" s="276">
        <f>SUM(Q59:Q65)</f>
        <v>0</v>
      </c>
      <c r="R66" s="240"/>
      <c r="S66" s="276">
        <f>SUM(S59:S65)</f>
        <v>7575</v>
      </c>
      <c r="T66" s="239"/>
      <c r="U66" s="276">
        <f>SUM(U59:U65)</f>
        <v>37875</v>
      </c>
      <c r="V66" s="239"/>
      <c r="W66" s="276">
        <f>SUM(W59:W65)</f>
        <v>12498.75</v>
      </c>
      <c r="X66" s="239"/>
      <c r="Y66" s="276">
        <f>SUM(Y59:Y65)</f>
        <v>93551.25</v>
      </c>
      <c r="Z66" s="5"/>
      <c r="AB66" s="6">
        <f t="shared" si="0"/>
        <v>0</v>
      </c>
    </row>
    <row r="67" spans="2:30" ht="13.5" customHeight="1" x14ac:dyDescent="0.2">
      <c r="E67" s="240"/>
      <c r="F67" s="275"/>
      <c r="G67" s="240"/>
      <c r="H67" s="275"/>
      <c r="I67" s="240"/>
      <c r="J67" s="275"/>
      <c r="K67" s="240"/>
      <c r="L67" s="275"/>
      <c r="M67" s="240"/>
      <c r="N67" s="275"/>
      <c r="O67" s="240"/>
      <c r="P67" s="275"/>
      <c r="Q67" s="240"/>
      <c r="R67" s="275"/>
      <c r="S67" s="240"/>
      <c r="T67" s="239"/>
      <c r="U67" s="240"/>
      <c r="V67" s="239"/>
      <c r="W67" s="239"/>
      <c r="X67" s="239"/>
      <c r="Y67" s="239"/>
      <c r="AB67" s="6">
        <f t="shared" si="0"/>
        <v>0</v>
      </c>
    </row>
    <row r="68" spans="2:30" ht="13.5" customHeight="1" x14ac:dyDescent="0.2">
      <c r="B68" s="6" t="s">
        <v>133</v>
      </c>
      <c r="E68" s="240"/>
      <c r="F68" s="275"/>
      <c r="G68" s="240"/>
      <c r="H68" s="275"/>
      <c r="I68" s="240"/>
      <c r="J68" s="275"/>
      <c r="K68" s="240"/>
      <c r="L68" s="275"/>
      <c r="M68" s="240"/>
      <c r="N68" s="275"/>
      <c r="O68" s="240"/>
      <c r="P68" s="275"/>
      <c r="Q68" s="240"/>
      <c r="R68" s="275"/>
      <c r="S68" s="240"/>
      <c r="T68" s="239"/>
      <c r="U68" s="240"/>
      <c r="V68" s="239"/>
      <c r="W68" s="239"/>
      <c r="X68" s="239"/>
      <c r="Y68" s="239"/>
      <c r="AB68" s="6">
        <f t="shared" si="0"/>
        <v>0</v>
      </c>
    </row>
    <row r="69" spans="2:30" ht="13.5" customHeight="1" x14ac:dyDescent="0.2">
      <c r="C69" s="398" t="s">
        <v>527</v>
      </c>
      <c r="D69" s="398"/>
      <c r="E69" s="398">
        <v>89000</v>
      </c>
      <c r="F69" s="275"/>
      <c r="G69" s="239"/>
      <c r="H69" s="275"/>
      <c r="I69" s="239"/>
      <c r="J69" s="275"/>
      <c r="K69" s="239"/>
      <c r="L69" s="275"/>
      <c r="M69" s="239"/>
      <c r="N69" s="275"/>
      <c r="O69" s="239"/>
      <c r="P69" s="275"/>
      <c r="Q69" s="239"/>
      <c r="R69" s="275"/>
      <c r="S69" s="239">
        <v>4450</v>
      </c>
      <c r="T69" s="239"/>
      <c r="U69" s="240">
        <v>22250</v>
      </c>
      <c r="V69" s="239"/>
      <c r="W69" s="239">
        <v>7343</v>
      </c>
      <c r="X69" s="239"/>
      <c r="Y69" s="240">
        <f t="shared" ref="Y69:Y72" si="10">E69-SUM(G69:W69)</f>
        <v>54957</v>
      </c>
      <c r="AB69" s="6">
        <f t="shared" si="0"/>
        <v>0</v>
      </c>
    </row>
    <row r="70" spans="2:30" ht="13.5" customHeight="1" x14ac:dyDescent="0.2">
      <c r="E70" s="239"/>
      <c r="F70" s="275"/>
      <c r="G70" s="239"/>
      <c r="H70" s="275"/>
      <c r="I70" s="239"/>
      <c r="J70" s="275"/>
      <c r="K70" s="239"/>
      <c r="L70" s="275"/>
      <c r="M70" s="239"/>
      <c r="N70" s="275"/>
      <c r="O70" s="239"/>
      <c r="P70" s="275"/>
      <c r="Q70" s="239"/>
      <c r="R70" s="275"/>
      <c r="S70" s="239"/>
      <c r="T70" s="239"/>
      <c r="U70" s="240"/>
      <c r="V70" s="239"/>
      <c r="W70" s="239"/>
      <c r="X70" s="239"/>
      <c r="Y70" s="240">
        <f t="shared" si="10"/>
        <v>0</v>
      </c>
      <c r="AB70" s="6">
        <f t="shared" si="0"/>
        <v>0</v>
      </c>
    </row>
    <row r="71" spans="2:30" ht="13.5" customHeight="1" x14ac:dyDescent="0.2">
      <c r="E71" s="239"/>
      <c r="F71" s="275"/>
      <c r="G71" s="239"/>
      <c r="H71" s="275"/>
      <c r="I71" s="239"/>
      <c r="J71" s="275"/>
      <c r="K71" s="239"/>
      <c r="L71" s="275"/>
      <c r="M71" s="239"/>
      <c r="N71" s="275"/>
      <c r="O71" s="239"/>
      <c r="P71" s="275"/>
      <c r="Q71" s="239"/>
      <c r="R71" s="275"/>
      <c r="S71" s="239"/>
      <c r="T71" s="239"/>
      <c r="U71" s="240"/>
      <c r="V71" s="239"/>
      <c r="W71" s="239"/>
      <c r="X71" s="239"/>
      <c r="Y71" s="240">
        <f t="shared" si="10"/>
        <v>0</v>
      </c>
      <c r="AB71" s="6">
        <f t="shared" si="0"/>
        <v>0</v>
      </c>
    </row>
    <row r="72" spans="2:30" ht="13.5" customHeight="1" x14ac:dyDescent="0.2">
      <c r="E72" s="239"/>
      <c r="F72" s="275"/>
      <c r="G72" s="239"/>
      <c r="H72" s="275"/>
      <c r="I72" s="239"/>
      <c r="J72" s="275"/>
      <c r="K72" s="239"/>
      <c r="L72" s="275"/>
      <c r="M72" s="239"/>
      <c r="N72" s="275"/>
      <c r="O72" s="239"/>
      <c r="P72" s="275"/>
      <c r="Q72" s="239"/>
      <c r="R72" s="275"/>
      <c r="S72" s="239"/>
      <c r="T72" s="239"/>
      <c r="U72" s="240"/>
      <c r="V72" s="239"/>
      <c r="W72" s="239"/>
      <c r="X72" s="239"/>
      <c r="Y72" s="240">
        <f t="shared" si="10"/>
        <v>0</v>
      </c>
      <c r="AB72" s="6">
        <f t="shared" si="0"/>
        <v>0</v>
      </c>
    </row>
    <row r="73" spans="2:30" ht="13.5" customHeight="1" x14ac:dyDescent="0.2">
      <c r="E73" s="240"/>
      <c r="F73" s="275"/>
      <c r="G73" s="240"/>
      <c r="H73" s="275"/>
      <c r="I73" s="240"/>
      <c r="J73" s="275"/>
      <c r="K73" s="240"/>
      <c r="L73" s="275"/>
      <c r="M73" s="240"/>
      <c r="N73" s="275"/>
      <c r="O73" s="240"/>
      <c r="P73" s="275"/>
      <c r="Q73" s="240"/>
      <c r="R73" s="275"/>
      <c r="S73" s="240"/>
      <c r="T73" s="239"/>
      <c r="U73" s="240"/>
      <c r="V73" s="239"/>
      <c r="W73" s="239"/>
      <c r="X73" s="239"/>
      <c r="Y73" s="239"/>
      <c r="AB73" s="6">
        <f t="shared" si="0"/>
        <v>0</v>
      </c>
    </row>
    <row r="74" spans="2:30" ht="13.5" customHeight="1" x14ac:dyDescent="0.2">
      <c r="C74" s="6" t="s">
        <v>359</v>
      </c>
      <c r="E74" s="276">
        <f>SUM(E68:E73)</f>
        <v>89000</v>
      </c>
      <c r="F74" s="240"/>
      <c r="G74" s="276">
        <f>SUM(G68:G73)</f>
        <v>0</v>
      </c>
      <c r="H74" s="240"/>
      <c r="I74" s="276">
        <f>SUM(I68:I73)</f>
        <v>0</v>
      </c>
      <c r="J74" s="240"/>
      <c r="K74" s="276">
        <f>SUM(K68:K73)</f>
        <v>0</v>
      </c>
      <c r="L74" s="240"/>
      <c r="M74" s="276">
        <f>SUM(M68:M73)</f>
        <v>0</v>
      </c>
      <c r="N74" s="240"/>
      <c r="O74" s="276">
        <f>SUM(O68:O73)</f>
        <v>0</v>
      </c>
      <c r="P74" s="240"/>
      <c r="Q74" s="276">
        <f>SUM(Q68:Q73)</f>
        <v>0</v>
      </c>
      <c r="R74" s="240"/>
      <c r="S74" s="276">
        <f>SUM(S68:S73)</f>
        <v>4450</v>
      </c>
      <c r="T74" s="239"/>
      <c r="U74" s="276">
        <f>SUM(U68:U73)</f>
        <v>22250</v>
      </c>
      <c r="V74" s="239"/>
      <c r="W74" s="276">
        <f>SUM(W68:W73)</f>
        <v>7343</v>
      </c>
      <c r="X74" s="239"/>
      <c r="Y74" s="276">
        <f>SUM(Y68:Y73)</f>
        <v>54957</v>
      </c>
      <c r="Z74" s="5"/>
      <c r="AB74" s="6">
        <f t="shared" si="0"/>
        <v>0</v>
      </c>
    </row>
    <row r="75" spans="2:30" ht="13.5" customHeight="1" x14ac:dyDescent="0.2">
      <c r="E75" s="240"/>
      <c r="F75" s="275"/>
      <c r="G75" s="240"/>
      <c r="H75" s="275"/>
      <c r="I75" s="240"/>
      <c r="J75" s="275"/>
      <c r="K75" s="240"/>
      <c r="L75" s="275"/>
      <c r="M75" s="240"/>
      <c r="N75" s="275"/>
      <c r="O75" s="240"/>
      <c r="P75" s="275"/>
      <c r="Q75" s="240"/>
      <c r="R75" s="275"/>
      <c r="S75" s="240"/>
      <c r="T75" s="239"/>
      <c r="U75" s="240"/>
      <c r="V75" s="239"/>
      <c r="W75" s="239"/>
      <c r="X75" s="239"/>
      <c r="Y75" s="239"/>
      <c r="AB75" s="6">
        <f t="shared" si="0"/>
        <v>0</v>
      </c>
    </row>
    <row r="76" spans="2:30" ht="13.5" customHeight="1" x14ac:dyDescent="0.2">
      <c r="B76" s="6" t="s">
        <v>225</v>
      </c>
      <c r="E76" s="239"/>
      <c r="F76" s="275"/>
      <c r="G76" s="239"/>
      <c r="H76" s="275"/>
      <c r="I76" s="239"/>
      <c r="J76" s="275"/>
      <c r="K76" s="239"/>
      <c r="L76" s="275"/>
      <c r="M76" s="239"/>
      <c r="N76" s="275"/>
      <c r="O76" s="239"/>
      <c r="P76" s="275"/>
      <c r="Q76" s="239"/>
      <c r="R76" s="275"/>
      <c r="S76" s="239"/>
      <c r="T76" s="239"/>
      <c r="U76" s="239"/>
      <c r="V76" s="239"/>
      <c r="W76" s="239"/>
      <c r="X76" s="239"/>
      <c r="Y76" s="239"/>
      <c r="AB76" s="6">
        <f t="shared" si="0"/>
        <v>0</v>
      </c>
    </row>
    <row r="77" spans="2:30" ht="13.5" customHeight="1" x14ac:dyDescent="0.2">
      <c r="E77" s="240"/>
      <c r="F77" s="275"/>
      <c r="G77" s="240"/>
      <c r="H77" s="275"/>
      <c r="I77" s="240"/>
      <c r="J77" s="275"/>
      <c r="K77" s="240"/>
      <c r="L77" s="275"/>
      <c r="M77" s="240"/>
      <c r="N77" s="275"/>
      <c r="O77" s="240"/>
      <c r="P77" s="275"/>
      <c r="Q77" s="240"/>
      <c r="R77" s="275"/>
      <c r="S77" s="240"/>
      <c r="T77" s="240"/>
      <c r="U77" s="240"/>
      <c r="V77" s="240"/>
      <c r="W77" s="239"/>
      <c r="X77" s="240"/>
      <c r="Y77" s="240">
        <f t="shared" ref="Y77:Y80" si="11">E77-SUM(G77:W77)</f>
        <v>0</v>
      </c>
      <c r="AB77" s="6">
        <f t="shared" si="0"/>
        <v>0</v>
      </c>
    </row>
    <row r="78" spans="2:30" ht="13.5" customHeight="1" x14ac:dyDescent="0.2">
      <c r="E78" s="240"/>
      <c r="F78" s="275"/>
      <c r="G78" s="240"/>
      <c r="H78" s="275"/>
      <c r="I78" s="240"/>
      <c r="J78" s="275"/>
      <c r="K78" s="240"/>
      <c r="L78" s="275"/>
      <c r="M78" s="240"/>
      <c r="N78" s="275"/>
      <c r="O78" s="240"/>
      <c r="P78" s="275"/>
      <c r="Q78" s="240"/>
      <c r="R78" s="275"/>
      <c r="S78" s="240"/>
      <c r="T78" s="240"/>
      <c r="U78" s="240"/>
      <c r="V78" s="240"/>
      <c r="W78" s="239"/>
      <c r="X78" s="240"/>
      <c r="Y78" s="240">
        <f t="shared" si="11"/>
        <v>0</v>
      </c>
      <c r="AB78" s="6">
        <f t="shared" si="0"/>
        <v>0</v>
      </c>
    </row>
    <row r="79" spans="2:30" ht="13.5" customHeight="1" x14ac:dyDescent="0.2">
      <c r="E79" s="240"/>
      <c r="F79" s="275"/>
      <c r="G79" s="240"/>
      <c r="H79" s="275"/>
      <c r="I79" s="240"/>
      <c r="J79" s="275"/>
      <c r="K79" s="240"/>
      <c r="L79" s="275"/>
      <c r="M79" s="240"/>
      <c r="N79" s="275"/>
      <c r="O79" s="240"/>
      <c r="P79" s="275"/>
      <c r="Q79" s="240"/>
      <c r="R79" s="275"/>
      <c r="S79" s="240"/>
      <c r="T79" s="240"/>
      <c r="U79" s="240"/>
      <c r="V79" s="240"/>
      <c r="W79" s="239"/>
      <c r="X79" s="240"/>
      <c r="Y79" s="240">
        <f t="shared" si="11"/>
        <v>0</v>
      </c>
      <c r="AB79" s="6">
        <f t="shared" si="0"/>
        <v>0</v>
      </c>
    </row>
    <row r="80" spans="2:30" s="5" customFormat="1" ht="13.5" customHeight="1" x14ac:dyDescent="0.2">
      <c r="E80" s="240"/>
      <c r="F80" s="275"/>
      <c r="G80" s="240"/>
      <c r="H80" s="275"/>
      <c r="I80" s="240"/>
      <c r="J80" s="275"/>
      <c r="K80" s="240"/>
      <c r="L80" s="275"/>
      <c r="M80" s="240"/>
      <c r="N80" s="275"/>
      <c r="O80" s="240"/>
      <c r="P80" s="275"/>
      <c r="Q80" s="240"/>
      <c r="R80" s="275"/>
      <c r="S80" s="240"/>
      <c r="T80" s="240"/>
      <c r="U80" s="240"/>
      <c r="V80" s="240"/>
      <c r="W80" s="240"/>
      <c r="X80" s="240"/>
      <c r="Y80" s="240">
        <f t="shared" si="11"/>
        <v>0</v>
      </c>
      <c r="AB80" s="6">
        <f t="shared" si="0"/>
        <v>0</v>
      </c>
      <c r="AD80" s="6"/>
    </row>
    <row r="81" spans="2:30" s="5" customFormat="1" ht="13.5" customHeight="1" x14ac:dyDescent="0.2">
      <c r="E81" s="240"/>
      <c r="F81" s="275"/>
      <c r="G81" s="240"/>
      <c r="H81" s="275"/>
      <c r="I81" s="240"/>
      <c r="J81" s="275"/>
      <c r="K81" s="240"/>
      <c r="L81" s="275"/>
      <c r="M81" s="240"/>
      <c r="N81" s="275"/>
      <c r="O81" s="240"/>
      <c r="P81" s="275"/>
      <c r="Q81" s="240"/>
      <c r="R81" s="275"/>
      <c r="S81" s="240"/>
      <c r="T81" s="240"/>
      <c r="U81" s="240"/>
      <c r="V81" s="240"/>
      <c r="W81" s="240"/>
      <c r="X81" s="240"/>
      <c r="Y81" s="240"/>
      <c r="AB81" s="6">
        <f t="shared" si="0"/>
        <v>0</v>
      </c>
      <c r="AD81" s="6"/>
    </row>
    <row r="82" spans="2:30" s="5" customFormat="1" ht="13.5" customHeight="1" x14ac:dyDescent="0.2">
      <c r="B82" s="6"/>
      <c r="C82" s="6" t="s">
        <v>360</v>
      </c>
      <c r="D82" s="6"/>
      <c r="E82" s="276">
        <f>SUM(E76:E81)</f>
        <v>0</v>
      </c>
      <c r="F82" s="240"/>
      <c r="G82" s="276">
        <f>SUM(G76:G81)</f>
        <v>0</v>
      </c>
      <c r="H82" s="240"/>
      <c r="I82" s="276">
        <f>SUM(I76:I81)</f>
        <v>0</v>
      </c>
      <c r="J82" s="240"/>
      <c r="K82" s="276">
        <f>SUM(K76:K81)</f>
        <v>0</v>
      </c>
      <c r="L82" s="240"/>
      <c r="M82" s="276">
        <f>SUM(M76:M81)</f>
        <v>0</v>
      </c>
      <c r="N82" s="240"/>
      <c r="O82" s="276">
        <f>SUM(O76:O81)</f>
        <v>0</v>
      </c>
      <c r="P82" s="240"/>
      <c r="Q82" s="276">
        <f>SUM(Q76:Q81)</f>
        <v>0</v>
      </c>
      <c r="R82" s="240"/>
      <c r="S82" s="276">
        <f>SUM(S76:S81)</f>
        <v>0</v>
      </c>
      <c r="T82" s="239"/>
      <c r="U82" s="276">
        <f>SUM(U76:U81)</f>
        <v>0</v>
      </c>
      <c r="V82" s="239"/>
      <c r="W82" s="276">
        <f>SUM(W76:W81)</f>
        <v>0</v>
      </c>
      <c r="X82" s="239"/>
      <c r="Y82" s="276">
        <f>SUM(Y76:Y81)</f>
        <v>0</v>
      </c>
      <c r="AB82" s="6">
        <f t="shared" ref="AB82:AB145" si="12">E82-_xlfn.SINGLE(SUM(G82:Y82))</f>
        <v>0</v>
      </c>
      <c r="AD82" s="6"/>
    </row>
    <row r="83" spans="2:30" ht="13.5" customHeight="1" x14ac:dyDescent="0.2">
      <c r="E83" s="239"/>
      <c r="F83" s="240"/>
      <c r="G83" s="239"/>
      <c r="H83" s="240"/>
      <c r="I83" s="239"/>
      <c r="J83" s="240"/>
      <c r="K83" s="239"/>
      <c r="L83" s="240"/>
      <c r="M83" s="239"/>
      <c r="N83" s="240"/>
      <c r="O83" s="239"/>
      <c r="P83" s="240"/>
      <c r="Q83" s="239"/>
      <c r="R83" s="240"/>
      <c r="S83" s="239"/>
      <c r="T83" s="239"/>
      <c r="U83" s="239"/>
      <c r="V83" s="239"/>
      <c r="W83" s="239"/>
      <c r="X83" s="239"/>
      <c r="Y83" s="239"/>
      <c r="AB83" s="6">
        <f t="shared" si="12"/>
        <v>0</v>
      </c>
    </row>
    <row r="84" spans="2:30" ht="13.5" customHeight="1" x14ac:dyDescent="0.2">
      <c r="B84" s="6" t="s">
        <v>46</v>
      </c>
      <c r="E84" s="239"/>
      <c r="F84" s="240"/>
      <c r="G84" s="239"/>
      <c r="H84" s="240"/>
      <c r="I84" s="239"/>
      <c r="J84" s="240"/>
      <c r="K84" s="239"/>
      <c r="L84" s="240"/>
      <c r="M84" s="239"/>
      <c r="N84" s="240"/>
      <c r="O84" s="239"/>
      <c r="P84" s="240"/>
      <c r="Q84" s="239"/>
      <c r="R84" s="240"/>
      <c r="S84" s="275"/>
      <c r="T84" s="239"/>
      <c r="U84" s="239"/>
      <c r="V84" s="239"/>
      <c r="W84" s="239"/>
      <c r="X84" s="239"/>
      <c r="Y84" s="239"/>
      <c r="AB84" s="6">
        <f t="shared" si="12"/>
        <v>0</v>
      </c>
    </row>
    <row r="85" spans="2:30" ht="13.5" customHeight="1" x14ac:dyDescent="0.2">
      <c r="C85" s="398" t="s">
        <v>505</v>
      </c>
      <c r="D85" s="398"/>
      <c r="E85" s="398">
        <v>370000</v>
      </c>
      <c r="F85" s="240"/>
      <c r="G85" s="239"/>
      <c r="H85" s="240"/>
      <c r="I85" s="239"/>
      <c r="J85" s="240"/>
      <c r="K85" s="239"/>
      <c r="L85" s="240"/>
      <c r="M85" s="239">
        <v>16000</v>
      </c>
      <c r="N85" s="240"/>
      <c r="O85" s="239"/>
      <c r="P85" s="240"/>
      <c r="Q85" s="275"/>
      <c r="R85" s="240"/>
      <c r="S85" s="275">
        <v>13450</v>
      </c>
      <c r="T85" s="239"/>
      <c r="U85" s="240">
        <v>67250</v>
      </c>
      <c r="V85" s="239"/>
      <c r="W85" s="239">
        <v>22193</v>
      </c>
      <c r="X85" s="239"/>
      <c r="Y85" s="240">
        <f t="shared" ref="Y85:Y88" si="13">E85-SUM(G85:W85)</f>
        <v>251107</v>
      </c>
      <c r="AB85" s="6">
        <f t="shared" si="12"/>
        <v>0</v>
      </c>
    </row>
    <row r="86" spans="2:30" ht="13.5" customHeight="1" x14ac:dyDescent="0.2">
      <c r="E86" s="239"/>
      <c r="F86" s="240"/>
      <c r="G86" s="239"/>
      <c r="H86" s="240"/>
      <c r="I86" s="239"/>
      <c r="J86" s="240"/>
      <c r="K86" s="239"/>
      <c r="L86" s="240"/>
      <c r="M86" s="239"/>
      <c r="N86" s="240"/>
      <c r="O86" s="239"/>
      <c r="P86" s="240"/>
      <c r="Q86" s="239"/>
      <c r="R86" s="240"/>
      <c r="S86" s="275"/>
      <c r="T86" s="239"/>
      <c r="U86" s="240"/>
      <c r="V86" s="239"/>
      <c r="W86" s="239"/>
      <c r="X86" s="239"/>
      <c r="Y86" s="240">
        <f t="shared" si="13"/>
        <v>0</v>
      </c>
      <c r="AB86" s="6">
        <f t="shared" si="12"/>
        <v>0</v>
      </c>
    </row>
    <row r="87" spans="2:30" ht="13.5" customHeight="1" x14ac:dyDescent="0.2">
      <c r="E87" s="239"/>
      <c r="F87" s="275"/>
      <c r="G87" s="239"/>
      <c r="H87" s="275"/>
      <c r="I87" s="239"/>
      <c r="J87" s="275"/>
      <c r="K87" s="239"/>
      <c r="L87" s="275"/>
      <c r="M87" s="239"/>
      <c r="N87" s="275"/>
      <c r="O87" s="239"/>
      <c r="P87" s="275"/>
      <c r="Q87" s="239"/>
      <c r="R87" s="275"/>
      <c r="S87" s="275"/>
      <c r="T87" s="239"/>
      <c r="U87" s="240"/>
      <c r="V87" s="239"/>
      <c r="W87" s="239"/>
      <c r="X87" s="239"/>
      <c r="Y87" s="240">
        <f t="shared" si="13"/>
        <v>0</v>
      </c>
      <c r="AB87" s="6">
        <f t="shared" si="12"/>
        <v>0</v>
      </c>
    </row>
    <row r="88" spans="2:30" ht="13.5" customHeight="1" x14ac:dyDescent="0.2">
      <c r="E88" s="239"/>
      <c r="F88" s="275"/>
      <c r="G88" s="239"/>
      <c r="H88" s="275"/>
      <c r="I88" s="239"/>
      <c r="J88" s="275"/>
      <c r="K88" s="239"/>
      <c r="L88" s="275"/>
      <c r="M88" s="239"/>
      <c r="N88" s="275"/>
      <c r="O88" s="239"/>
      <c r="P88" s="275"/>
      <c r="Q88" s="239"/>
      <c r="R88" s="275"/>
      <c r="S88" s="275"/>
      <c r="T88" s="239"/>
      <c r="U88" s="240"/>
      <c r="V88" s="239"/>
      <c r="W88" s="239"/>
      <c r="X88" s="239"/>
      <c r="Y88" s="240">
        <f t="shared" si="13"/>
        <v>0</v>
      </c>
      <c r="AB88" s="6">
        <f t="shared" si="12"/>
        <v>0</v>
      </c>
    </row>
    <row r="89" spans="2:30" ht="13.5" customHeight="1" x14ac:dyDescent="0.2">
      <c r="B89" s="82"/>
      <c r="C89" s="82"/>
      <c r="D89" s="82"/>
      <c r="E89" s="277"/>
      <c r="F89" s="275"/>
      <c r="G89" s="278"/>
      <c r="H89" s="275"/>
      <c r="I89" s="278"/>
      <c r="J89" s="275"/>
      <c r="K89" s="278"/>
      <c r="L89" s="275"/>
      <c r="M89" s="278"/>
      <c r="N89" s="275"/>
      <c r="O89" s="278"/>
      <c r="P89" s="275"/>
      <c r="Q89" s="278"/>
      <c r="R89" s="275"/>
      <c r="S89" s="275"/>
      <c r="T89" s="278"/>
      <c r="U89" s="240"/>
      <c r="V89" s="278"/>
      <c r="W89" s="239"/>
      <c r="X89" s="278"/>
      <c r="Y89" s="239"/>
      <c r="AB89" s="6">
        <f t="shared" si="12"/>
        <v>0</v>
      </c>
    </row>
    <row r="90" spans="2:30" ht="13.5" customHeight="1" x14ac:dyDescent="0.2">
      <c r="C90" s="6" t="s">
        <v>361</v>
      </c>
      <c r="E90" s="276">
        <f>SUM(E84:E89)</f>
        <v>370000</v>
      </c>
      <c r="F90" s="275"/>
      <c r="G90" s="276">
        <f>SUM(G84:G89)</f>
        <v>0</v>
      </c>
      <c r="H90" s="275"/>
      <c r="I90" s="276">
        <f>SUM(I84:I89)</f>
        <v>0</v>
      </c>
      <c r="J90" s="275"/>
      <c r="K90" s="276">
        <f>SUM(K84:K89)</f>
        <v>0</v>
      </c>
      <c r="L90" s="275"/>
      <c r="M90" s="276">
        <f>SUM(M84:M89)</f>
        <v>16000</v>
      </c>
      <c r="N90" s="275"/>
      <c r="O90" s="276">
        <f>SUM(O84:O89)</f>
        <v>0</v>
      </c>
      <c r="P90" s="275"/>
      <c r="Q90" s="276">
        <f>SUM(Q84:Q89)</f>
        <v>0</v>
      </c>
      <c r="R90" s="275"/>
      <c r="S90" s="276">
        <f>SUM(S84:S89)</f>
        <v>13450</v>
      </c>
      <c r="T90" s="239"/>
      <c r="U90" s="276">
        <f>SUM(U84:U89)</f>
        <v>67250</v>
      </c>
      <c r="V90" s="239"/>
      <c r="W90" s="276">
        <f>SUM(W84:W89)</f>
        <v>22193</v>
      </c>
      <c r="X90" s="239"/>
      <c r="Y90" s="276">
        <f>SUM(Y84:Y89)</f>
        <v>251107</v>
      </c>
      <c r="Z90" s="5"/>
      <c r="AB90" s="6">
        <f t="shared" si="12"/>
        <v>0</v>
      </c>
    </row>
    <row r="91" spans="2:30" ht="13.5" customHeight="1" x14ac:dyDescent="0.2">
      <c r="E91" s="239"/>
      <c r="F91" s="240"/>
      <c r="G91" s="239"/>
      <c r="H91" s="240"/>
      <c r="I91" s="239"/>
      <c r="J91" s="240"/>
      <c r="K91" s="239"/>
      <c r="L91" s="240"/>
      <c r="M91" s="239"/>
      <c r="N91" s="240"/>
      <c r="O91" s="239"/>
      <c r="P91" s="240"/>
      <c r="Q91" s="239"/>
      <c r="R91" s="240"/>
      <c r="S91" s="239"/>
      <c r="T91" s="239"/>
      <c r="U91" s="239"/>
      <c r="V91" s="239"/>
      <c r="W91" s="239"/>
      <c r="X91" s="239"/>
      <c r="Y91" s="239"/>
      <c r="AB91" s="6">
        <f t="shared" si="12"/>
        <v>0</v>
      </c>
    </row>
    <row r="92" spans="2:30" ht="13.5" customHeight="1" x14ac:dyDescent="0.2">
      <c r="B92" s="6" t="s">
        <v>47</v>
      </c>
      <c r="E92" s="239"/>
      <c r="F92" s="240"/>
      <c r="G92" s="239"/>
      <c r="H92" s="240"/>
      <c r="I92" s="239"/>
      <c r="J92" s="240"/>
      <c r="K92" s="239"/>
      <c r="L92" s="240"/>
      <c r="M92" s="239"/>
      <c r="N92" s="240"/>
      <c r="O92" s="239"/>
      <c r="P92" s="240"/>
      <c r="Q92" s="239"/>
      <c r="R92" s="240"/>
      <c r="S92" s="239"/>
      <c r="T92" s="239"/>
      <c r="U92" s="239"/>
      <c r="V92" s="239"/>
      <c r="W92" s="239"/>
      <c r="X92" s="239"/>
      <c r="Y92" s="239"/>
      <c r="AB92" s="6">
        <f t="shared" si="12"/>
        <v>0</v>
      </c>
    </row>
    <row r="93" spans="2:30" ht="13.5" customHeight="1" x14ac:dyDescent="0.2">
      <c r="B93" s="398" t="s">
        <v>528</v>
      </c>
      <c r="C93" s="398"/>
      <c r="D93" s="398"/>
      <c r="E93" s="398"/>
      <c r="F93" s="277"/>
      <c r="G93" s="239"/>
      <c r="H93" s="277"/>
      <c r="I93" s="239"/>
      <c r="J93" s="277"/>
      <c r="K93" s="239"/>
      <c r="L93" s="277"/>
      <c r="M93" s="239"/>
      <c r="N93" s="277"/>
      <c r="O93" s="239"/>
      <c r="P93" s="277"/>
      <c r="Q93" s="239"/>
      <c r="R93" s="277"/>
      <c r="S93" s="239"/>
      <c r="T93" s="239"/>
      <c r="U93" s="239"/>
      <c r="V93" s="239"/>
      <c r="W93" s="239"/>
      <c r="X93" s="239"/>
      <c r="Y93" s="240"/>
      <c r="AB93" s="6">
        <f t="shared" si="12"/>
        <v>0</v>
      </c>
    </row>
    <row r="94" spans="2:30" ht="13.5" customHeight="1" x14ac:dyDescent="0.2">
      <c r="B94" s="398"/>
      <c r="C94" s="398" t="s">
        <v>508</v>
      </c>
      <c r="D94" s="398"/>
      <c r="E94" s="398">
        <v>395000</v>
      </c>
      <c r="F94" s="240"/>
      <c r="G94" s="239">
        <v>300000</v>
      </c>
      <c r="H94" s="240"/>
      <c r="I94" s="239"/>
      <c r="J94" s="240"/>
      <c r="K94" s="239"/>
      <c r="L94" s="240"/>
      <c r="M94" s="239"/>
      <c r="N94" s="240"/>
      <c r="O94" s="239"/>
      <c r="P94" s="240"/>
      <c r="Q94" s="239"/>
      <c r="R94" s="240"/>
      <c r="S94" s="239">
        <v>750</v>
      </c>
      <c r="T94" s="239"/>
      <c r="U94" s="240">
        <v>3750</v>
      </c>
      <c r="V94" s="239"/>
      <c r="W94" s="239">
        <v>1237.5</v>
      </c>
      <c r="X94" s="239"/>
      <c r="Y94" s="240">
        <f t="shared" ref="Y94:Y97" si="14">E94-SUM(G94:W94)</f>
        <v>89262.5</v>
      </c>
      <c r="AB94" s="6">
        <f t="shared" si="12"/>
        <v>0</v>
      </c>
    </row>
    <row r="95" spans="2:30" ht="13.5" customHeight="1" x14ac:dyDescent="0.2">
      <c r="B95" s="398"/>
      <c r="C95" s="398" t="s">
        <v>509</v>
      </c>
      <c r="D95" s="398"/>
      <c r="E95" s="398">
        <v>85000</v>
      </c>
      <c r="F95" s="240"/>
      <c r="G95" s="239"/>
      <c r="H95" s="240"/>
      <c r="I95" s="239"/>
      <c r="J95" s="240"/>
      <c r="K95" s="239"/>
      <c r="L95" s="240"/>
      <c r="M95" s="239"/>
      <c r="N95" s="240"/>
      <c r="O95" s="239"/>
      <c r="P95" s="240"/>
      <c r="Q95" s="239"/>
      <c r="R95" s="240"/>
      <c r="S95" s="239">
        <v>4250</v>
      </c>
      <c r="T95" s="239"/>
      <c r="U95" s="240">
        <v>21250</v>
      </c>
      <c r="V95" s="239"/>
      <c r="W95" s="239">
        <v>7012.5</v>
      </c>
      <c r="X95" s="239"/>
      <c r="Y95" s="240">
        <f t="shared" si="14"/>
        <v>52487.5</v>
      </c>
      <c r="AB95" s="6">
        <f t="shared" si="12"/>
        <v>0</v>
      </c>
    </row>
    <row r="96" spans="2:30" ht="13.5" customHeight="1" x14ac:dyDescent="0.2">
      <c r="B96" s="398"/>
      <c r="C96" s="398" t="s">
        <v>510</v>
      </c>
      <c r="D96" s="398"/>
      <c r="E96" s="398">
        <v>36000</v>
      </c>
      <c r="F96" s="277"/>
      <c r="G96" s="239"/>
      <c r="H96" s="277"/>
      <c r="I96" s="239"/>
      <c r="J96" s="277"/>
      <c r="K96" s="239"/>
      <c r="L96" s="277"/>
      <c r="M96" s="239"/>
      <c r="N96" s="277"/>
      <c r="O96" s="239"/>
      <c r="P96" s="277"/>
      <c r="Q96" s="239"/>
      <c r="R96" s="277"/>
      <c r="S96" s="239">
        <v>1800</v>
      </c>
      <c r="T96" s="239"/>
      <c r="U96" s="240">
        <v>9000</v>
      </c>
      <c r="V96" s="239"/>
      <c r="W96" s="239">
        <v>2970</v>
      </c>
      <c r="X96" s="239"/>
      <c r="Y96" s="240">
        <f t="shared" si="14"/>
        <v>22230</v>
      </c>
      <c r="AB96" s="6">
        <f t="shared" si="12"/>
        <v>0</v>
      </c>
    </row>
    <row r="97" spans="2:30" ht="13.5" customHeight="1" x14ac:dyDescent="0.2">
      <c r="E97" s="239"/>
      <c r="F97" s="277"/>
      <c r="G97" s="239"/>
      <c r="H97" s="277"/>
      <c r="I97" s="239"/>
      <c r="J97" s="277"/>
      <c r="K97" s="239"/>
      <c r="L97" s="277"/>
      <c r="M97" s="239"/>
      <c r="N97" s="277"/>
      <c r="O97" s="239"/>
      <c r="P97" s="277"/>
      <c r="Q97" s="239"/>
      <c r="R97" s="277"/>
      <c r="S97" s="239"/>
      <c r="T97" s="239"/>
      <c r="U97" s="240"/>
      <c r="V97" s="239"/>
      <c r="W97" s="239"/>
      <c r="X97" s="239"/>
      <c r="Y97" s="240">
        <f t="shared" si="14"/>
        <v>0</v>
      </c>
      <c r="AB97" s="6">
        <f t="shared" si="12"/>
        <v>0</v>
      </c>
    </row>
    <row r="98" spans="2:30" ht="13.5" customHeight="1" x14ac:dyDescent="0.2">
      <c r="E98" s="239"/>
      <c r="F98" s="240"/>
      <c r="G98" s="239"/>
      <c r="H98" s="240"/>
      <c r="I98" s="239"/>
      <c r="J98" s="240"/>
      <c r="K98" s="239"/>
      <c r="L98" s="240"/>
      <c r="M98" s="239"/>
      <c r="N98" s="240"/>
      <c r="O98" s="239"/>
      <c r="P98" s="240"/>
      <c r="Q98" s="239"/>
      <c r="R98" s="240"/>
      <c r="S98" s="239"/>
      <c r="T98" s="239"/>
      <c r="U98" s="240"/>
      <c r="V98" s="239"/>
      <c r="W98" s="239"/>
      <c r="X98" s="239"/>
      <c r="Y98" s="239"/>
      <c r="AB98" s="6">
        <f t="shared" si="12"/>
        <v>0</v>
      </c>
    </row>
    <row r="99" spans="2:30" ht="13.5" customHeight="1" x14ac:dyDescent="0.2">
      <c r="C99" s="6" t="s">
        <v>362</v>
      </c>
      <c r="E99" s="276">
        <f>SUM(E92:E98)</f>
        <v>516000</v>
      </c>
      <c r="F99" s="240"/>
      <c r="G99" s="276">
        <f>SUM(G92:G98)</f>
        <v>300000</v>
      </c>
      <c r="H99" s="240"/>
      <c r="I99" s="276">
        <f>SUM(I92:I98)</f>
        <v>0</v>
      </c>
      <c r="J99" s="240"/>
      <c r="K99" s="276">
        <f>SUM(K92:K98)</f>
        <v>0</v>
      </c>
      <c r="L99" s="240"/>
      <c r="M99" s="276">
        <f>SUM(M92:M98)</f>
        <v>0</v>
      </c>
      <c r="N99" s="240"/>
      <c r="O99" s="276">
        <f>SUM(O92:O98)</f>
        <v>0</v>
      </c>
      <c r="P99" s="240"/>
      <c r="Q99" s="276">
        <f>SUM(Q92:Q98)</f>
        <v>0</v>
      </c>
      <c r="R99" s="240"/>
      <c r="S99" s="276">
        <f>SUM(S92:S98)</f>
        <v>6800</v>
      </c>
      <c r="T99" s="239"/>
      <c r="U99" s="276">
        <f>SUM(U92:U98)</f>
        <v>34000</v>
      </c>
      <c r="V99" s="239"/>
      <c r="W99" s="276">
        <f>SUM(W92:W98)</f>
        <v>11220</v>
      </c>
      <c r="X99" s="239"/>
      <c r="Y99" s="276">
        <f>SUM(Y92:Y98)</f>
        <v>163980</v>
      </c>
      <c r="Z99" s="5"/>
      <c r="AB99" s="6">
        <f t="shared" si="12"/>
        <v>0</v>
      </c>
    </row>
    <row r="100" spans="2:30" ht="13.5" customHeight="1" x14ac:dyDescent="0.2">
      <c r="E100" s="240"/>
      <c r="F100" s="277"/>
      <c r="G100" s="240"/>
      <c r="H100" s="277"/>
      <c r="I100" s="240"/>
      <c r="J100" s="277"/>
      <c r="K100" s="240"/>
      <c r="L100" s="277"/>
      <c r="M100" s="240"/>
      <c r="N100" s="277"/>
      <c r="O100" s="240"/>
      <c r="P100" s="277"/>
      <c r="Q100" s="240"/>
      <c r="R100" s="277"/>
      <c r="S100" s="240"/>
      <c r="T100" s="239"/>
      <c r="U100" s="240"/>
      <c r="V100" s="239"/>
      <c r="W100" s="239"/>
      <c r="X100" s="239"/>
      <c r="Y100" s="239"/>
      <c r="AB100" s="6">
        <f t="shared" si="12"/>
        <v>0</v>
      </c>
    </row>
    <row r="101" spans="2:30" ht="13.5" customHeight="1" x14ac:dyDescent="0.2">
      <c r="B101" s="6" t="s">
        <v>50</v>
      </c>
      <c r="E101" s="239"/>
      <c r="F101" s="240"/>
      <c r="G101" s="239"/>
      <c r="H101" s="240"/>
      <c r="I101" s="239"/>
      <c r="J101" s="240"/>
      <c r="K101" s="239"/>
      <c r="L101" s="240"/>
      <c r="M101" s="239"/>
      <c r="N101" s="240"/>
      <c r="O101" s="239"/>
      <c r="P101" s="240"/>
      <c r="Q101" s="239"/>
      <c r="R101" s="240"/>
      <c r="S101" s="275"/>
      <c r="T101" s="239"/>
      <c r="U101" s="239"/>
      <c r="V101" s="239"/>
      <c r="W101" s="239"/>
      <c r="X101" s="239"/>
      <c r="Y101" s="239"/>
      <c r="AB101" s="6">
        <f t="shared" si="12"/>
        <v>0</v>
      </c>
    </row>
    <row r="102" spans="2:30" ht="13.5" customHeight="1" x14ac:dyDescent="0.2">
      <c r="C102" s="398" t="s">
        <v>529</v>
      </c>
      <c r="D102" s="398"/>
      <c r="E102" s="398">
        <v>89000</v>
      </c>
      <c r="F102" s="240"/>
      <c r="G102" s="239"/>
      <c r="H102" s="240"/>
      <c r="I102" s="239"/>
      <c r="J102" s="240"/>
      <c r="K102" s="239"/>
      <c r="L102" s="240"/>
      <c r="M102" s="239"/>
      <c r="N102" s="240"/>
      <c r="O102" s="239"/>
      <c r="P102" s="240"/>
      <c r="Q102" s="275"/>
      <c r="R102" s="240"/>
      <c r="S102" s="275">
        <v>4450</v>
      </c>
      <c r="T102" s="239"/>
      <c r="U102" s="240">
        <v>22250</v>
      </c>
      <c r="V102" s="239"/>
      <c r="W102" s="239">
        <v>7343</v>
      </c>
      <c r="X102" s="239"/>
      <c r="Y102" s="240">
        <f t="shared" ref="Y102:Y105" si="15">E102-SUM(G102:W102)</f>
        <v>54957</v>
      </c>
      <c r="AB102" s="6">
        <f t="shared" si="12"/>
        <v>0</v>
      </c>
    </row>
    <row r="103" spans="2:30" ht="13.5" customHeight="1" x14ac:dyDescent="0.2">
      <c r="E103" s="239"/>
      <c r="F103" s="240"/>
      <c r="G103" s="239"/>
      <c r="H103" s="240"/>
      <c r="I103" s="239"/>
      <c r="J103" s="240"/>
      <c r="K103" s="239"/>
      <c r="L103" s="240"/>
      <c r="M103" s="239"/>
      <c r="N103" s="240"/>
      <c r="O103" s="239"/>
      <c r="P103" s="240"/>
      <c r="Q103" s="239"/>
      <c r="R103" s="240"/>
      <c r="S103" s="239"/>
      <c r="T103" s="239"/>
      <c r="U103" s="240"/>
      <c r="V103" s="239"/>
      <c r="W103" s="239"/>
      <c r="X103" s="239"/>
      <c r="Y103" s="240">
        <f t="shared" si="15"/>
        <v>0</v>
      </c>
      <c r="AB103" s="6">
        <f t="shared" si="12"/>
        <v>0</v>
      </c>
    </row>
    <row r="104" spans="2:30" ht="13.5" customHeight="1" x14ac:dyDescent="0.2">
      <c r="E104" s="239"/>
      <c r="F104" s="277"/>
      <c r="G104" s="239"/>
      <c r="H104" s="277"/>
      <c r="I104" s="239"/>
      <c r="J104" s="277"/>
      <c r="K104" s="239"/>
      <c r="L104" s="277"/>
      <c r="M104" s="239"/>
      <c r="N104" s="277"/>
      <c r="O104" s="239"/>
      <c r="P104" s="277"/>
      <c r="Q104" s="239"/>
      <c r="R104" s="277"/>
      <c r="S104" s="239"/>
      <c r="T104" s="239"/>
      <c r="U104" s="240"/>
      <c r="V104" s="239"/>
      <c r="W104" s="239"/>
      <c r="X104" s="239"/>
      <c r="Y104" s="240">
        <f t="shared" si="15"/>
        <v>0</v>
      </c>
      <c r="AB104" s="6">
        <f t="shared" si="12"/>
        <v>0</v>
      </c>
    </row>
    <row r="105" spans="2:30" ht="13.5" customHeight="1" x14ac:dyDescent="0.2">
      <c r="E105" s="239"/>
      <c r="F105" s="240"/>
      <c r="G105" s="239"/>
      <c r="H105" s="240"/>
      <c r="I105" s="239"/>
      <c r="J105" s="240"/>
      <c r="K105" s="239"/>
      <c r="L105" s="240"/>
      <c r="M105" s="239"/>
      <c r="N105" s="240"/>
      <c r="O105" s="239"/>
      <c r="P105" s="240"/>
      <c r="Q105" s="239"/>
      <c r="R105" s="240"/>
      <c r="S105" s="275"/>
      <c r="T105" s="239"/>
      <c r="U105" s="240"/>
      <c r="V105" s="239"/>
      <c r="W105" s="239"/>
      <c r="X105" s="239"/>
      <c r="Y105" s="240">
        <f t="shared" si="15"/>
        <v>0</v>
      </c>
      <c r="AB105" s="6">
        <f t="shared" si="12"/>
        <v>0</v>
      </c>
    </row>
    <row r="106" spans="2:30" ht="13.5" customHeight="1" x14ac:dyDescent="0.2">
      <c r="E106" s="239"/>
      <c r="F106" s="240"/>
      <c r="G106" s="239"/>
      <c r="H106" s="240"/>
      <c r="I106" s="239"/>
      <c r="J106" s="240"/>
      <c r="K106" s="239"/>
      <c r="L106" s="240"/>
      <c r="M106" s="239"/>
      <c r="N106" s="240"/>
      <c r="O106" s="239"/>
      <c r="P106" s="240"/>
      <c r="Q106" s="239"/>
      <c r="R106" s="240"/>
      <c r="S106" s="239"/>
      <c r="T106" s="239"/>
      <c r="U106" s="240"/>
      <c r="V106" s="239"/>
      <c r="W106" s="239"/>
      <c r="X106" s="239"/>
      <c r="Y106" s="239"/>
      <c r="AB106" s="6">
        <f t="shared" si="12"/>
        <v>0</v>
      </c>
    </row>
    <row r="107" spans="2:30" ht="13.5" customHeight="1" x14ac:dyDescent="0.2">
      <c r="C107" s="6" t="s">
        <v>363</v>
      </c>
      <c r="E107" s="276">
        <f>SUM(E101:E106)</f>
        <v>89000</v>
      </c>
      <c r="F107" s="240"/>
      <c r="G107" s="276">
        <f>SUM(G101:G106)</f>
        <v>0</v>
      </c>
      <c r="H107" s="240"/>
      <c r="I107" s="276">
        <f>SUM(I101:I106)</f>
        <v>0</v>
      </c>
      <c r="J107" s="240"/>
      <c r="K107" s="276">
        <f>SUM(K101:K106)</f>
        <v>0</v>
      </c>
      <c r="L107" s="240"/>
      <c r="M107" s="276">
        <f>SUM(M101:M106)</f>
        <v>0</v>
      </c>
      <c r="N107" s="240"/>
      <c r="O107" s="276">
        <f>SUM(O101:O106)</f>
        <v>0</v>
      </c>
      <c r="P107" s="240"/>
      <c r="Q107" s="276">
        <f>SUM(Q101:Q106)</f>
        <v>0</v>
      </c>
      <c r="R107" s="240"/>
      <c r="S107" s="276">
        <f>SUM(S101:S106)</f>
        <v>4450</v>
      </c>
      <c r="T107" s="239"/>
      <c r="U107" s="276">
        <f>SUM(U101:U106)</f>
        <v>22250</v>
      </c>
      <c r="V107" s="239"/>
      <c r="W107" s="276">
        <f>SUM(W101:W106)</f>
        <v>7343</v>
      </c>
      <c r="X107" s="239"/>
      <c r="Y107" s="276">
        <f>SUM(Y101:Y106)</f>
        <v>54957</v>
      </c>
      <c r="Z107" s="5"/>
      <c r="AB107" s="6">
        <f t="shared" si="12"/>
        <v>0</v>
      </c>
    </row>
    <row r="108" spans="2:30" ht="13.5" customHeight="1" x14ac:dyDescent="0.2">
      <c r="E108" s="239"/>
      <c r="F108" s="240"/>
      <c r="G108" s="239"/>
      <c r="H108" s="240"/>
      <c r="I108" s="239"/>
      <c r="J108" s="240"/>
      <c r="K108" s="239"/>
      <c r="L108" s="240"/>
      <c r="M108" s="239"/>
      <c r="N108" s="240"/>
      <c r="O108" s="239"/>
      <c r="P108" s="240"/>
      <c r="Q108" s="239"/>
      <c r="R108" s="240"/>
      <c r="S108" s="239"/>
      <c r="T108" s="239"/>
      <c r="U108" s="239"/>
      <c r="V108" s="239"/>
      <c r="W108" s="239"/>
      <c r="X108" s="239"/>
      <c r="Y108" s="239"/>
      <c r="AB108" s="6">
        <f t="shared" si="12"/>
        <v>0</v>
      </c>
    </row>
    <row r="109" spans="2:30" s="20" customFormat="1" ht="13.5" customHeight="1" x14ac:dyDescent="0.2">
      <c r="B109" s="17" t="s">
        <v>48</v>
      </c>
      <c r="C109" s="17"/>
      <c r="D109" s="17"/>
      <c r="E109" s="280"/>
      <c r="F109" s="280"/>
      <c r="G109" s="280"/>
      <c r="H109" s="280"/>
      <c r="I109" s="280"/>
      <c r="J109" s="280"/>
      <c r="K109" s="280"/>
      <c r="L109" s="280"/>
      <c r="M109" s="280"/>
      <c r="N109" s="280"/>
      <c r="O109" s="280"/>
      <c r="P109" s="280"/>
      <c r="Q109" s="280"/>
      <c r="R109" s="280"/>
      <c r="S109" s="280"/>
      <c r="T109" s="287"/>
      <c r="U109" s="280"/>
      <c r="V109" s="287"/>
      <c r="W109" s="287"/>
      <c r="X109" s="287"/>
      <c r="Y109" s="287"/>
      <c r="AB109" s="6">
        <f t="shared" si="12"/>
        <v>0</v>
      </c>
      <c r="AD109" s="6"/>
    </row>
    <row r="110" spans="2:30" ht="13.5" customHeight="1" x14ac:dyDescent="0.2">
      <c r="C110" s="398" t="s">
        <v>513</v>
      </c>
      <c r="D110" s="398"/>
      <c r="E110" s="398">
        <v>86000</v>
      </c>
      <c r="F110" s="240"/>
      <c r="G110" s="240"/>
      <c r="H110" s="240"/>
      <c r="I110" s="240"/>
      <c r="J110" s="240"/>
      <c r="K110" s="240"/>
      <c r="L110" s="240"/>
      <c r="M110" s="240"/>
      <c r="N110" s="240"/>
      <c r="O110" s="240"/>
      <c r="P110" s="240"/>
      <c r="Q110" s="240"/>
      <c r="R110" s="240"/>
      <c r="S110" s="240">
        <v>3550</v>
      </c>
      <c r="T110" s="239"/>
      <c r="U110" s="240">
        <v>17750</v>
      </c>
      <c r="V110" s="239"/>
      <c r="W110" s="239">
        <v>5858</v>
      </c>
      <c r="X110" s="239"/>
      <c r="Y110" s="240">
        <f t="shared" ref="Y110:Y113" si="16">E110-SUM(G110:W110)</f>
        <v>58842</v>
      </c>
      <c r="AB110" s="6">
        <f t="shared" si="12"/>
        <v>0</v>
      </c>
    </row>
    <row r="111" spans="2:30" ht="13.5" customHeight="1" x14ac:dyDescent="0.2">
      <c r="E111" s="239"/>
      <c r="F111" s="240"/>
      <c r="G111" s="240"/>
      <c r="H111" s="240"/>
      <c r="I111" s="240"/>
      <c r="J111" s="240"/>
      <c r="K111" s="240"/>
      <c r="L111" s="240"/>
      <c r="M111" s="240"/>
      <c r="N111" s="240"/>
      <c r="O111" s="240"/>
      <c r="P111" s="240"/>
      <c r="Q111" s="240"/>
      <c r="R111" s="240"/>
      <c r="S111" s="240"/>
      <c r="T111" s="239"/>
      <c r="U111" s="240"/>
      <c r="V111" s="239"/>
      <c r="W111" s="239"/>
      <c r="X111" s="239"/>
      <c r="Y111" s="240">
        <f t="shared" si="16"/>
        <v>0</v>
      </c>
      <c r="AB111" s="6">
        <f t="shared" si="12"/>
        <v>0</v>
      </c>
    </row>
    <row r="112" spans="2:30" ht="13.5" customHeight="1" x14ac:dyDescent="0.2">
      <c r="E112" s="239"/>
      <c r="F112" s="240"/>
      <c r="G112" s="240"/>
      <c r="H112" s="240"/>
      <c r="I112" s="240"/>
      <c r="J112" s="240"/>
      <c r="K112" s="240"/>
      <c r="L112" s="240"/>
      <c r="M112" s="240"/>
      <c r="N112" s="240"/>
      <c r="O112" s="240"/>
      <c r="P112" s="240"/>
      <c r="Q112" s="240"/>
      <c r="R112" s="240"/>
      <c r="S112" s="240"/>
      <c r="T112" s="239"/>
      <c r="U112" s="240"/>
      <c r="V112" s="239"/>
      <c r="W112" s="239"/>
      <c r="X112" s="239"/>
      <c r="Y112" s="240">
        <f t="shared" si="16"/>
        <v>0</v>
      </c>
      <c r="AB112" s="6">
        <f t="shared" si="12"/>
        <v>0</v>
      </c>
    </row>
    <row r="113" spans="2:30" ht="13.5" customHeight="1" x14ac:dyDescent="0.2">
      <c r="E113" s="239"/>
      <c r="F113" s="240"/>
      <c r="G113" s="240"/>
      <c r="H113" s="240"/>
      <c r="I113" s="240"/>
      <c r="J113" s="240"/>
      <c r="K113" s="240"/>
      <c r="L113" s="240"/>
      <c r="M113" s="240"/>
      <c r="N113" s="240"/>
      <c r="O113" s="240"/>
      <c r="P113" s="240"/>
      <c r="Q113" s="240"/>
      <c r="R113" s="240"/>
      <c r="S113" s="240"/>
      <c r="T113" s="239"/>
      <c r="U113" s="240"/>
      <c r="V113" s="239"/>
      <c r="W113" s="239"/>
      <c r="X113" s="239"/>
      <c r="Y113" s="240">
        <f t="shared" si="16"/>
        <v>0</v>
      </c>
      <c r="AB113" s="6">
        <f t="shared" si="12"/>
        <v>0</v>
      </c>
    </row>
    <row r="114" spans="2:30" ht="13.5" customHeight="1" x14ac:dyDescent="0.2">
      <c r="B114" s="82"/>
      <c r="C114" s="82"/>
      <c r="D114" s="82"/>
      <c r="E114" s="277"/>
      <c r="F114" s="240"/>
      <c r="G114" s="277"/>
      <c r="H114" s="240"/>
      <c r="I114" s="277"/>
      <c r="J114" s="240"/>
      <c r="K114" s="277"/>
      <c r="L114" s="240"/>
      <c r="M114" s="277"/>
      <c r="N114" s="240"/>
      <c r="O114" s="277"/>
      <c r="P114" s="240"/>
      <c r="Q114" s="277"/>
      <c r="R114" s="240"/>
      <c r="S114" s="277"/>
      <c r="T114" s="278"/>
      <c r="U114" s="240"/>
      <c r="V114" s="278"/>
      <c r="W114" s="239"/>
      <c r="X114" s="278"/>
      <c r="Y114" s="239"/>
      <c r="AB114" s="6">
        <f t="shared" si="12"/>
        <v>0</v>
      </c>
    </row>
    <row r="115" spans="2:30" ht="13.5" customHeight="1" x14ac:dyDescent="0.2">
      <c r="C115" s="6" t="s">
        <v>364</v>
      </c>
      <c r="E115" s="276">
        <f>SUM(E109:E114)</f>
        <v>86000</v>
      </c>
      <c r="F115" s="240"/>
      <c r="G115" s="276">
        <f>SUM(G109:G114)</f>
        <v>0</v>
      </c>
      <c r="H115" s="240"/>
      <c r="I115" s="276">
        <f>SUM(I109:I114)</f>
        <v>0</v>
      </c>
      <c r="J115" s="240"/>
      <c r="K115" s="276">
        <f>SUM(K109:K114)</f>
        <v>0</v>
      </c>
      <c r="L115" s="240"/>
      <c r="M115" s="276">
        <f>SUM(M109:M114)</f>
        <v>0</v>
      </c>
      <c r="N115" s="240"/>
      <c r="O115" s="276">
        <f>SUM(O109:O114)</f>
        <v>0</v>
      </c>
      <c r="P115" s="240"/>
      <c r="Q115" s="276">
        <f>SUM(Q109:Q114)</f>
        <v>0</v>
      </c>
      <c r="R115" s="240"/>
      <c r="S115" s="276">
        <f>SUM(S109:S114)</f>
        <v>3550</v>
      </c>
      <c r="T115" s="239"/>
      <c r="U115" s="276">
        <f>SUM(U109:U114)</f>
        <v>17750</v>
      </c>
      <c r="V115" s="239"/>
      <c r="W115" s="276">
        <f>SUM(W109:W114)</f>
        <v>5858</v>
      </c>
      <c r="X115" s="239"/>
      <c r="Y115" s="276">
        <f>SUM(Y109:Y114)</f>
        <v>58842</v>
      </c>
      <c r="Z115" s="5"/>
      <c r="AB115" s="6">
        <f t="shared" si="12"/>
        <v>0</v>
      </c>
    </row>
    <row r="116" spans="2:30" ht="13.5" customHeight="1" x14ac:dyDescent="0.2">
      <c r="E116" s="240"/>
      <c r="F116" s="240"/>
      <c r="G116" s="240"/>
      <c r="H116" s="240"/>
      <c r="I116" s="240"/>
      <c r="J116" s="240"/>
      <c r="K116" s="240"/>
      <c r="L116" s="240"/>
      <c r="M116" s="240"/>
      <c r="N116" s="240"/>
      <c r="O116" s="240"/>
      <c r="P116" s="240"/>
      <c r="Q116" s="240"/>
      <c r="R116" s="240"/>
      <c r="S116" s="240"/>
      <c r="T116" s="239"/>
      <c r="U116" s="240"/>
      <c r="V116" s="239"/>
      <c r="W116" s="239"/>
      <c r="X116" s="239"/>
      <c r="Y116" s="239"/>
      <c r="AB116" s="6">
        <f t="shared" si="12"/>
        <v>0</v>
      </c>
    </row>
    <row r="117" spans="2:30" ht="13.5" customHeight="1" x14ac:dyDescent="0.2">
      <c r="B117" s="6" t="s">
        <v>182</v>
      </c>
      <c r="E117" s="239"/>
      <c r="F117" s="240"/>
      <c r="G117" s="239"/>
      <c r="H117" s="240"/>
      <c r="I117" s="239"/>
      <c r="J117" s="240"/>
      <c r="K117" s="239"/>
      <c r="L117" s="240"/>
      <c r="M117" s="239"/>
      <c r="N117" s="240"/>
      <c r="O117" s="239"/>
      <c r="P117" s="240"/>
      <c r="Q117" s="239"/>
      <c r="R117" s="240"/>
      <c r="S117" s="275"/>
      <c r="T117" s="239"/>
      <c r="U117" s="239"/>
      <c r="V117" s="239"/>
      <c r="W117" s="239"/>
      <c r="X117" s="239"/>
      <c r="Y117" s="239"/>
      <c r="AB117" s="6">
        <f t="shared" si="12"/>
        <v>0</v>
      </c>
    </row>
    <row r="118" spans="2:30" s="5" customFormat="1" ht="13.5" customHeight="1" x14ac:dyDescent="0.2">
      <c r="E118" s="240"/>
      <c r="F118" s="240"/>
      <c r="G118" s="240"/>
      <c r="H118" s="240"/>
      <c r="I118" s="240"/>
      <c r="J118" s="240"/>
      <c r="K118" s="240"/>
      <c r="L118" s="240"/>
      <c r="M118" s="240"/>
      <c r="N118" s="240"/>
      <c r="O118" s="240"/>
      <c r="P118" s="240"/>
      <c r="Q118" s="275"/>
      <c r="R118" s="240"/>
      <c r="S118" s="275"/>
      <c r="T118" s="240"/>
      <c r="U118" s="240"/>
      <c r="V118" s="240"/>
      <c r="W118" s="275"/>
      <c r="X118" s="240"/>
      <c r="Y118" s="240">
        <f t="shared" ref="Y118:Y121" si="17">E118-SUM(G118:W118)</f>
        <v>0</v>
      </c>
      <c r="Z118" s="16"/>
      <c r="AB118" s="6">
        <f t="shared" si="12"/>
        <v>0</v>
      </c>
      <c r="AD118" s="6"/>
    </row>
    <row r="119" spans="2:30" s="5" customFormat="1" ht="13.5" customHeight="1" x14ac:dyDescent="0.2">
      <c r="E119" s="240"/>
      <c r="F119" s="240"/>
      <c r="G119" s="240"/>
      <c r="H119" s="240"/>
      <c r="I119" s="240"/>
      <c r="J119" s="240"/>
      <c r="K119" s="240"/>
      <c r="L119" s="240"/>
      <c r="M119" s="240"/>
      <c r="N119" s="240"/>
      <c r="O119" s="240"/>
      <c r="P119" s="240"/>
      <c r="Q119" s="240"/>
      <c r="R119" s="240"/>
      <c r="S119" s="275"/>
      <c r="T119" s="240"/>
      <c r="U119" s="240"/>
      <c r="V119" s="240"/>
      <c r="W119" s="275"/>
      <c r="X119" s="240"/>
      <c r="Y119" s="240">
        <f t="shared" si="17"/>
        <v>0</v>
      </c>
      <c r="Z119" s="16"/>
      <c r="AB119" s="6">
        <f t="shared" si="12"/>
        <v>0</v>
      </c>
      <c r="AD119" s="6"/>
    </row>
    <row r="120" spans="2:30" s="5" customFormat="1" ht="13.5" customHeight="1" x14ac:dyDescent="0.2">
      <c r="E120" s="240"/>
      <c r="F120" s="240"/>
      <c r="G120" s="240"/>
      <c r="H120" s="240"/>
      <c r="I120" s="240"/>
      <c r="J120" s="240"/>
      <c r="K120" s="240"/>
      <c r="L120" s="240"/>
      <c r="M120" s="240"/>
      <c r="N120" s="240"/>
      <c r="O120" s="240"/>
      <c r="P120" s="240"/>
      <c r="Q120" s="240"/>
      <c r="R120" s="240"/>
      <c r="S120" s="275"/>
      <c r="T120" s="240"/>
      <c r="U120" s="240"/>
      <c r="V120" s="240"/>
      <c r="W120" s="275"/>
      <c r="X120" s="240"/>
      <c r="Y120" s="240">
        <f t="shared" si="17"/>
        <v>0</v>
      </c>
      <c r="Z120" s="16"/>
      <c r="AB120" s="6">
        <f t="shared" si="12"/>
        <v>0</v>
      </c>
      <c r="AD120" s="6"/>
    </row>
    <row r="121" spans="2:30" s="5" customFormat="1" ht="13.5" customHeight="1" x14ac:dyDescent="0.2">
      <c r="E121" s="240"/>
      <c r="F121" s="240"/>
      <c r="G121" s="240"/>
      <c r="H121" s="240"/>
      <c r="I121" s="240"/>
      <c r="J121" s="240"/>
      <c r="K121" s="240"/>
      <c r="L121" s="240"/>
      <c r="M121" s="240"/>
      <c r="N121" s="240"/>
      <c r="O121" s="240"/>
      <c r="P121" s="240"/>
      <c r="Q121" s="240"/>
      <c r="R121" s="240"/>
      <c r="S121" s="275"/>
      <c r="T121" s="240"/>
      <c r="U121" s="240"/>
      <c r="V121" s="240"/>
      <c r="W121" s="275"/>
      <c r="X121" s="240"/>
      <c r="Y121" s="240">
        <f t="shared" si="17"/>
        <v>0</v>
      </c>
      <c r="Z121" s="16"/>
      <c r="AB121" s="6">
        <f t="shared" si="12"/>
        <v>0</v>
      </c>
      <c r="AD121" s="6"/>
    </row>
    <row r="122" spans="2:30" s="5" customFormat="1" ht="13.5" customHeight="1" x14ac:dyDescent="0.2">
      <c r="E122" s="240"/>
      <c r="F122" s="240"/>
      <c r="G122" s="240"/>
      <c r="H122" s="240"/>
      <c r="I122" s="240"/>
      <c r="J122" s="240"/>
      <c r="K122" s="240"/>
      <c r="L122" s="240"/>
      <c r="M122" s="240"/>
      <c r="N122" s="240"/>
      <c r="O122" s="240"/>
      <c r="P122" s="240"/>
      <c r="Q122" s="240"/>
      <c r="R122" s="240"/>
      <c r="S122" s="275"/>
      <c r="T122" s="240"/>
      <c r="U122" s="240"/>
      <c r="V122" s="240"/>
      <c r="W122" s="275"/>
      <c r="X122" s="240"/>
      <c r="Y122" s="275"/>
      <c r="Z122" s="16"/>
      <c r="AB122" s="6">
        <f t="shared" si="12"/>
        <v>0</v>
      </c>
      <c r="AD122" s="6"/>
    </row>
    <row r="123" spans="2:30" ht="13.5" customHeight="1" x14ac:dyDescent="0.2">
      <c r="C123" s="6" t="s">
        <v>344</v>
      </c>
      <c r="E123" s="276">
        <f>SUM(E117:E122)</f>
        <v>0</v>
      </c>
      <c r="F123" s="240"/>
      <c r="G123" s="276">
        <f>SUM(G117:G122)</f>
        <v>0</v>
      </c>
      <c r="H123" s="240"/>
      <c r="I123" s="276">
        <f>SUM(I117:I122)</f>
        <v>0</v>
      </c>
      <c r="J123" s="240"/>
      <c r="K123" s="276">
        <f>SUM(K117:K122)</f>
        <v>0</v>
      </c>
      <c r="L123" s="240"/>
      <c r="M123" s="276">
        <f>SUM(M117:M122)</f>
        <v>0</v>
      </c>
      <c r="N123" s="240"/>
      <c r="O123" s="276">
        <f>SUM(O117:O122)</f>
        <v>0</v>
      </c>
      <c r="P123" s="240"/>
      <c r="Q123" s="276">
        <f>SUM(Q117:Q122)</f>
        <v>0</v>
      </c>
      <c r="R123" s="240"/>
      <c r="S123" s="276">
        <f>SUM(S117:S122)</f>
        <v>0</v>
      </c>
      <c r="T123" s="239"/>
      <c r="U123" s="276">
        <f>SUM(U117:U122)</f>
        <v>0</v>
      </c>
      <c r="V123" s="239"/>
      <c r="W123" s="276">
        <f>SUM(W117:W122)</f>
        <v>0</v>
      </c>
      <c r="X123" s="239"/>
      <c r="Y123" s="276">
        <f>SUM(Y117:Y122)</f>
        <v>0</v>
      </c>
      <c r="Z123" s="5"/>
      <c r="AB123" s="6">
        <f t="shared" si="12"/>
        <v>0</v>
      </c>
    </row>
    <row r="124" spans="2:30" ht="13.5" customHeight="1" x14ac:dyDescent="0.2">
      <c r="B124" s="82"/>
      <c r="C124" s="82"/>
      <c r="D124" s="82"/>
      <c r="E124" s="277"/>
      <c r="F124" s="240"/>
      <c r="G124" s="278"/>
      <c r="H124" s="240"/>
      <c r="I124" s="278"/>
      <c r="J124" s="240"/>
      <c r="K124" s="278"/>
      <c r="L124" s="240"/>
      <c r="M124" s="278"/>
      <c r="N124" s="240"/>
      <c r="O124" s="278"/>
      <c r="P124" s="240"/>
      <c r="Q124" s="278"/>
      <c r="R124" s="240"/>
      <c r="S124" s="275"/>
      <c r="T124" s="278"/>
      <c r="U124" s="277"/>
      <c r="V124" s="278"/>
      <c r="W124" s="239"/>
      <c r="X124" s="278"/>
      <c r="Y124" s="239"/>
      <c r="AB124" s="6">
        <f t="shared" si="12"/>
        <v>0</v>
      </c>
    </row>
    <row r="125" spans="2:30" ht="13.5" customHeight="1" x14ac:dyDescent="0.2">
      <c r="B125" s="6" t="s">
        <v>45</v>
      </c>
      <c r="E125" s="239"/>
      <c r="F125" s="240"/>
      <c r="G125" s="239"/>
      <c r="H125" s="240"/>
      <c r="I125" s="239"/>
      <c r="J125" s="240"/>
      <c r="K125" s="239"/>
      <c r="L125" s="240"/>
      <c r="M125" s="239"/>
      <c r="N125" s="240"/>
      <c r="O125" s="239"/>
      <c r="P125" s="240"/>
      <c r="Q125" s="239"/>
      <c r="R125" s="240"/>
      <c r="S125" s="275"/>
      <c r="T125" s="239"/>
      <c r="U125" s="239"/>
      <c r="V125" s="239"/>
      <c r="W125" s="239"/>
      <c r="X125" s="239"/>
      <c r="Y125" s="239"/>
      <c r="AB125" s="6">
        <f t="shared" si="12"/>
        <v>0</v>
      </c>
    </row>
    <row r="126" spans="2:30" ht="13.5" customHeight="1" x14ac:dyDescent="0.2">
      <c r="E126" s="239"/>
      <c r="F126" s="240"/>
      <c r="G126" s="240"/>
      <c r="H126" s="240"/>
      <c r="I126" s="240"/>
      <c r="J126" s="240"/>
      <c r="K126" s="240"/>
      <c r="L126" s="240"/>
      <c r="M126" s="240"/>
      <c r="N126" s="240"/>
      <c r="O126" s="240"/>
      <c r="P126" s="240"/>
      <c r="Q126" s="240"/>
      <c r="R126" s="240"/>
      <c r="S126" s="240"/>
      <c r="T126" s="239"/>
      <c r="U126" s="240"/>
      <c r="V126" s="239"/>
      <c r="W126" s="240"/>
      <c r="X126" s="239"/>
      <c r="Y126" s="240">
        <f t="shared" ref="Y126:Y129" si="18">E126-SUM(G126:W126)</f>
        <v>0</v>
      </c>
      <c r="Z126" s="5"/>
      <c r="AB126" s="6">
        <f t="shared" si="12"/>
        <v>0</v>
      </c>
    </row>
    <row r="127" spans="2:30" ht="13.5" customHeight="1" x14ac:dyDescent="0.2">
      <c r="E127" s="239"/>
      <c r="F127" s="240"/>
      <c r="G127" s="240"/>
      <c r="H127" s="240"/>
      <c r="I127" s="240"/>
      <c r="J127" s="240"/>
      <c r="K127" s="240"/>
      <c r="L127" s="240"/>
      <c r="M127" s="240"/>
      <c r="N127" s="240"/>
      <c r="O127" s="240"/>
      <c r="P127" s="240"/>
      <c r="Q127" s="240"/>
      <c r="R127" s="240"/>
      <c r="S127" s="240"/>
      <c r="T127" s="239"/>
      <c r="U127" s="240"/>
      <c r="V127" s="239"/>
      <c r="W127" s="240"/>
      <c r="X127" s="239"/>
      <c r="Y127" s="240">
        <f t="shared" si="18"/>
        <v>0</v>
      </c>
      <c r="Z127" s="5"/>
      <c r="AB127" s="6">
        <f t="shared" si="12"/>
        <v>0</v>
      </c>
    </row>
    <row r="128" spans="2:30" ht="13.5" customHeight="1" x14ac:dyDescent="0.2">
      <c r="E128" s="239"/>
      <c r="F128" s="240"/>
      <c r="G128" s="240"/>
      <c r="H128" s="240"/>
      <c r="I128" s="240"/>
      <c r="J128" s="240"/>
      <c r="K128" s="240"/>
      <c r="L128" s="240"/>
      <c r="M128" s="240"/>
      <c r="N128" s="240"/>
      <c r="O128" s="240"/>
      <c r="P128" s="240"/>
      <c r="Q128" s="240"/>
      <c r="R128" s="240"/>
      <c r="S128" s="240"/>
      <c r="T128" s="239"/>
      <c r="U128" s="240"/>
      <c r="V128" s="239"/>
      <c r="W128" s="240"/>
      <c r="X128" s="239"/>
      <c r="Y128" s="240">
        <f t="shared" si="18"/>
        <v>0</v>
      </c>
      <c r="Z128" s="5"/>
      <c r="AB128" s="6">
        <f t="shared" si="12"/>
        <v>0</v>
      </c>
    </row>
    <row r="129" spans="2:30" ht="13.5" customHeight="1" x14ac:dyDescent="0.2">
      <c r="E129" s="239"/>
      <c r="F129" s="240"/>
      <c r="G129" s="240"/>
      <c r="H129" s="240"/>
      <c r="I129" s="240"/>
      <c r="J129" s="240"/>
      <c r="K129" s="240"/>
      <c r="L129" s="240"/>
      <c r="M129" s="240"/>
      <c r="N129" s="240"/>
      <c r="O129" s="240"/>
      <c r="P129" s="240"/>
      <c r="Q129" s="240"/>
      <c r="R129" s="240"/>
      <c r="S129" s="240"/>
      <c r="T129" s="239"/>
      <c r="U129" s="240"/>
      <c r="V129" s="239"/>
      <c r="W129" s="240"/>
      <c r="X129" s="239"/>
      <c r="Y129" s="240">
        <f t="shared" si="18"/>
        <v>0</v>
      </c>
      <c r="Z129" s="5"/>
      <c r="AB129" s="6">
        <f t="shared" si="12"/>
        <v>0</v>
      </c>
    </row>
    <row r="130" spans="2:30" ht="13.5" customHeight="1" x14ac:dyDescent="0.2">
      <c r="B130" s="82"/>
      <c r="C130" s="82"/>
      <c r="D130" s="82"/>
      <c r="E130" s="277"/>
      <c r="F130" s="240"/>
      <c r="G130" s="277"/>
      <c r="H130" s="240"/>
      <c r="I130" s="277"/>
      <c r="J130" s="240"/>
      <c r="K130" s="277"/>
      <c r="L130" s="240"/>
      <c r="M130" s="277"/>
      <c r="N130" s="240"/>
      <c r="O130" s="277"/>
      <c r="P130" s="240"/>
      <c r="Q130" s="277"/>
      <c r="R130" s="240"/>
      <c r="S130" s="277"/>
      <c r="T130" s="278"/>
      <c r="U130" s="240"/>
      <c r="V130" s="278"/>
      <c r="W130" s="240"/>
      <c r="X130" s="278"/>
      <c r="Y130" s="240"/>
      <c r="Z130" s="5"/>
      <c r="AB130" s="6">
        <f t="shared" si="12"/>
        <v>0</v>
      </c>
    </row>
    <row r="131" spans="2:30" ht="13.5" customHeight="1" x14ac:dyDescent="0.2">
      <c r="C131" s="6" t="s">
        <v>365</v>
      </c>
      <c r="E131" s="276">
        <f>SUM(E125:E130)</f>
        <v>0</v>
      </c>
      <c r="F131" s="240"/>
      <c r="G131" s="276">
        <f>SUM(G125:G130)</f>
        <v>0</v>
      </c>
      <c r="H131" s="240"/>
      <c r="I131" s="276">
        <f>SUM(I125:I130)</f>
        <v>0</v>
      </c>
      <c r="J131" s="240"/>
      <c r="K131" s="276">
        <f>SUM(K125:K130)</f>
        <v>0</v>
      </c>
      <c r="L131" s="240"/>
      <c r="M131" s="276">
        <f>SUM(M125:M130)</f>
        <v>0</v>
      </c>
      <c r="N131" s="240"/>
      <c r="O131" s="276">
        <f>SUM(O125:O130)</f>
        <v>0</v>
      </c>
      <c r="P131" s="240"/>
      <c r="Q131" s="276">
        <f>SUM(Q125:Q130)</f>
        <v>0</v>
      </c>
      <c r="R131" s="240"/>
      <c r="S131" s="276">
        <f>SUM(S125:S130)</f>
        <v>0</v>
      </c>
      <c r="T131" s="239"/>
      <c r="U131" s="276">
        <f>SUM(U125:U130)</f>
        <v>0</v>
      </c>
      <c r="V131" s="239"/>
      <c r="W131" s="276">
        <f>SUM(W125:W130)</f>
        <v>0</v>
      </c>
      <c r="X131" s="239"/>
      <c r="Y131" s="276">
        <f>SUM(Y125:Y130)</f>
        <v>0</v>
      </c>
      <c r="Z131" s="5"/>
      <c r="AB131" s="6">
        <f t="shared" si="12"/>
        <v>0</v>
      </c>
    </row>
    <row r="132" spans="2:30" ht="13.5" customHeight="1" x14ac:dyDescent="0.2">
      <c r="B132" s="82"/>
      <c r="C132" s="82"/>
      <c r="D132" s="82"/>
      <c r="E132" s="277"/>
      <c r="F132" s="240"/>
      <c r="G132" s="277"/>
      <c r="H132" s="240"/>
      <c r="I132" s="277"/>
      <c r="J132" s="240"/>
      <c r="K132" s="277"/>
      <c r="L132" s="240"/>
      <c r="M132" s="277"/>
      <c r="N132" s="240"/>
      <c r="O132" s="277"/>
      <c r="P132" s="240"/>
      <c r="Q132" s="277"/>
      <c r="R132" s="240"/>
      <c r="S132" s="277"/>
      <c r="T132" s="278"/>
      <c r="U132" s="277"/>
      <c r="V132" s="278"/>
      <c r="W132" s="239"/>
      <c r="X132" s="278"/>
      <c r="Y132" s="239"/>
      <c r="AB132" s="6">
        <f t="shared" si="12"/>
        <v>0</v>
      </c>
    </row>
    <row r="133" spans="2:30" s="20" customFormat="1" ht="13.5" customHeight="1" x14ac:dyDescent="0.2">
      <c r="B133" s="17" t="s">
        <v>151</v>
      </c>
      <c r="C133" s="17"/>
      <c r="D133" s="17"/>
      <c r="E133" s="280"/>
      <c r="F133" s="280"/>
      <c r="G133" s="280"/>
      <c r="H133" s="280"/>
      <c r="I133" s="280"/>
      <c r="J133" s="280"/>
      <c r="K133" s="280"/>
      <c r="L133" s="280"/>
      <c r="M133" s="280"/>
      <c r="N133" s="280"/>
      <c r="O133" s="280"/>
      <c r="P133" s="280"/>
      <c r="Q133" s="280"/>
      <c r="R133" s="280"/>
      <c r="S133" s="280"/>
      <c r="T133" s="287"/>
      <c r="U133" s="280"/>
      <c r="V133" s="287"/>
      <c r="W133" s="287"/>
      <c r="X133" s="287"/>
      <c r="Y133" s="287"/>
      <c r="AB133" s="6">
        <f t="shared" si="12"/>
        <v>0</v>
      </c>
      <c r="AD133" s="6"/>
    </row>
    <row r="134" spans="2:30" ht="13.5" customHeight="1" x14ac:dyDescent="0.2">
      <c r="E134" s="239"/>
      <c r="F134" s="240"/>
      <c r="G134" s="240"/>
      <c r="H134" s="240"/>
      <c r="I134" s="240"/>
      <c r="J134" s="240"/>
      <c r="K134" s="240"/>
      <c r="L134" s="240"/>
      <c r="M134" s="240"/>
      <c r="N134" s="240"/>
      <c r="O134" s="240"/>
      <c r="P134" s="240"/>
      <c r="Q134" s="240"/>
      <c r="R134" s="240"/>
      <c r="S134" s="240"/>
      <c r="T134" s="239"/>
      <c r="U134" s="240"/>
      <c r="V134" s="239"/>
      <c r="W134" s="239"/>
      <c r="X134" s="239"/>
      <c r="Y134" s="240">
        <f t="shared" ref="Y134:Y137" si="19">E134-SUM(G134:W134)</f>
        <v>0</v>
      </c>
      <c r="AB134" s="6">
        <f t="shared" si="12"/>
        <v>0</v>
      </c>
    </row>
    <row r="135" spans="2:30" ht="13.5" customHeight="1" x14ac:dyDescent="0.2">
      <c r="E135" s="239"/>
      <c r="F135" s="240"/>
      <c r="G135" s="240"/>
      <c r="H135" s="240"/>
      <c r="I135" s="240"/>
      <c r="J135" s="240"/>
      <c r="K135" s="240"/>
      <c r="L135" s="240"/>
      <c r="M135" s="240"/>
      <c r="N135" s="240"/>
      <c r="O135" s="240"/>
      <c r="P135" s="240"/>
      <c r="Q135" s="240"/>
      <c r="R135" s="240"/>
      <c r="S135" s="240"/>
      <c r="T135" s="239"/>
      <c r="U135" s="240"/>
      <c r="V135" s="239"/>
      <c r="W135" s="239"/>
      <c r="X135" s="239"/>
      <c r="Y135" s="240">
        <f t="shared" si="19"/>
        <v>0</v>
      </c>
      <c r="AB135" s="6">
        <f t="shared" si="12"/>
        <v>0</v>
      </c>
    </row>
    <row r="136" spans="2:30" ht="13.5" customHeight="1" x14ac:dyDescent="0.2">
      <c r="E136" s="239"/>
      <c r="F136" s="240"/>
      <c r="G136" s="240"/>
      <c r="H136" s="240"/>
      <c r="I136" s="240"/>
      <c r="J136" s="240"/>
      <c r="K136" s="240"/>
      <c r="L136" s="240"/>
      <c r="M136" s="240"/>
      <c r="N136" s="240"/>
      <c r="O136" s="240"/>
      <c r="P136" s="240"/>
      <c r="Q136" s="240"/>
      <c r="R136" s="240"/>
      <c r="S136" s="240"/>
      <c r="T136" s="239"/>
      <c r="U136" s="240"/>
      <c r="V136" s="239"/>
      <c r="W136" s="239"/>
      <c r="X136" s="239"/>
      <c r="Y136" s="240">
        <f t="shared" si="19"/>
        <v>0</v>
      </c>
      <c r="AB136" s="6">
        <f t="shared" si="12"/>
        <v>0</v>
      </c>
    </row>
    <row r="137" spans="2:30" ht="13.5" customHeight="1" x14ac:dyDescent="0.2">
      <c r="E137" s="239"/>
      <c r="F137" s="240"/>
      <c r="G137" s="240"/>
      <c r="H137" s="240"/>
      <c r="I137" s="240"/>
      <c r="J137" s="240"/>
      <c r="K137" s="240"/>
      <c r="L137" s="240"/>
      <c r="M137" s="240"/>
      <c r="N137" s="240"/>
      <c r="O137" s="240"/>
      <c r="P137" s="240"/>
      <c r="Q137" s="240"/>
      <c r="R137" s="240"/>
      <c r="S137" s="240"/>
      <c r="T137" s="239"/>
      <c r="U137" s="240"/>
      <c r="V137" s="239"/>
      <c r="W137" s="239"/>
      <c r="X137" s="239"/>
      <c r="Y137" s="240">
        <f t="shared" si="19"/>
        <v>0</v>
      </c>
      <c r="AB137" s="6">
        <f t="shared" si="12"/>
        <v>0</v>
      </c>
    </row>
    <row r="138" spans="2:30" ht="13.5" customHeight="1" x14ac:dyDescent="0.2">
      <c r="B138" s="82"/>
      <c r="C138" s="82"/>
      <c r="D138" s="82"/>
      <c r="E138" s="277"/>
      <c r="F138" s="240"/>
      <c r="G138" s="277"/>
      <c r="H138" s="240"/>
      <c r="I138" s="277"/>
      <c r="J138" s="240"/>
      <c r="K138" s="277"/>
      <c r="L138" s="240"/>
      <c r="M138" s="277"/>
      <c r="N138" s="240"/>
      <c r="O138" s="277"/>
      <c r="P138" s="240"/>
      <c r="Q138" s="277"/>
      <c r="R138" s="240"/>
      <c r="S138" s="277"/>
      <c r="T138" s="278"/>
      <c r="U138" s="240"/>
      <c r="V138" s="278"/>
      <c r="W138" s="239"/>
      <c r="X138" s="278"/>
      <c r="Y138" s="239"/>
      <c r="AB138" s="6">
        <f t="shared" si="12"/>
        <v>0</v>
      </c>
    </row>
    <row r="139" spans="2:30" ht="13.5" customHeight="1" x14ac:dyDescent="0.2">
      <c r="C139" s="6" t="s">
        <v>366</v>
      </c>
      <c r="E139" s="276">
        <f>SUM(E133:E138)</f>
        <v>0</v>
      </c>
      <c r="F139" s="240"/>
      <c r="G139" s="276">
        <f>SUM(G133:G138)</f>
        <v>0</v>
      </c>
      <c r="H139" s="240"/>
      <c r="I139" s="276">
        <f>SUM(I133:I138)</f>
        <v>0</v>
      </c>
      <c r="J139" s="240"/>
      <c r="K139" s="276">
        <f>SUM(K133:K138)</f>
        <v>0</v>
      </c>
      <c r="L139" s="240"/>
      <c r="M139" s="276">
        <f>SUM(M133:M138)</f>
        <v>0</v>
      </c>
      <c r="N139" s="240"/>
      <c r="O139" s="276">
        <f>SUM(O133:O138)</f>
        <v>0</v>
      </c>
      <c r="P139" s="240"/>
      <c r="Q139" s="276">
        <f>SUM(Q133:Q138)</f>
        <v>0</v>
      </c>
      <c r="R139" s="240"/>
      <c r="S139" s="276">
        <f>SUM(S133:S138)</f>
        <v>0</v>
      </c>
      <c r="T139" s="239"/>
      <c r="U139" s="276">
        <f>SUM(U133:U138)</f>
        <v>0</v>
      </c>
      <c r="V139" s="239"/>
      <c r="W139" s="276">
        <f>SUM(W133:W138)</f>
        <v>0</v>
      </c>
      <c r="X139" s="239"/>
      <c r="Y139" s="276">
        <f>SUM(Y133:Y138)</f>
        <v>0</v>
      </c>
      <c r="Z139" s="5"/>
      <c r="AB139" s="6">
        <f t="shared" si="12"/>
        <v>0</v>
      </c>
    </row>
    <row r="140" spans="2:30" ht="13.5" customHeight="1" x14ac:dyDescent="0.2">
      <c r="B140" s="82"/>
      <c r="C140" s="82"/>
      <c r="D140" s="82"/>
      <c r="E140" s="277"/>
      <c r="F140" s="240"/>
      <c r="G140" s="277"/>
      <c r="H140" s="240"/>
      <c r="I140" s="277"/>
      <c r="J140" s="240"/>
      <c r="K140" s="277"/>
      <c r="L140" s="240"/>
      <c r="M140" s="277"/>
      <c r="N140" s="240"/>
      <c r="O140" s="277"/>
      <c r="P140" s="240"/>
      <c r="Q140" s="277"/>
      <c r="R140" s="240"/>
      <c r="S140" s="277"/>
      <c r="T140" s="278"/>
      <c r="U140" s="277"/>
      <c r="V140" s="278"/>
      <c r="W140" s="239"/>
      <c r="X140" s="278"/>
      <c r="Y140" s="239"/>
      <c r="AB140" s="6">
        <f t="shared" si="12"/>
        <v>0</v>
      </c>
    </row>
    <row r="141" spans="2:30" s="20" customFormat="1" ht="13.5" customHeight="1" x14ac:dyDescent="0.2">
      <c r="B141" s="17" t="s">
        <v>49</v>
      </c>
      <c r="C141" s="17"/>
      <c r="D141" s="17"/>
      <c r="E141" s="280"/>
      <c r="F141" s="280"/>
      <c r="G141" s="280"/>
      <c r="H141" s="280"/>
      <c r="I141" s="280"/>
      <c r="J141" s="280"/>
      <c r="K141" s="280"/>
      <c r="L141" s="280"/>
      <c r="M141" s="280"/>
      <c r="N141" s="280"/>
      <c r="O141" s="280"/>
      <c r="P141" s="280"/>
      <c r="Q141" s="280"/>
      <c r="R141" s="280"/>
      <c r="S141" s="280"/>
      <c r="T141" s="287"/>
      <c r="U141" s="280"/>
      <c r="V141" s="287"/>
      <c r="W141" s="287"/>
      <c r="X141" s="287"/>
      <c r="Y141" s="287"/>
      <c r="AB141" s="6">
        <f t="shared" si="12"/>
        <v>0</v>
      </c>
      <c r="AD141" s="6"/>
    </row>
    <row r="142" spans="2:30" ht="13.5" customHeight="1" x14ac:dyDescent="0.2">
      <c r="C142" s="398" t="s">
        <v>515</v>
      </c>
      <c r="D142" s="398"/>
      <c r="E142" s="398">
        <v>210000</v>
      </c>
      <c r="F142" s="240"/>
      <c r="G142" s="240"/>
      <c r="H142" s="240"/>
      <c r="I142" s="240"/>
      <c r="J142" s="240"/>
      <c r="K142" s="240"/>
      <c r="L142" s="240"/>
      <c r="M142" s="240"/>
      <c r="N142" s="240"/>
      <c r="O142" s="240"/>
      <c r="P142" s="240"/>
      <c r="Q142" s="240"/>
      <c r="R142" s="240"/>
      <c r="S142" s="240">
        <v>10500</v>
      </c>
      <c r="T142" s="239"/>
      <c r="U142" s="240">
        <v>52500</v>
      </c>
      <c r="V142" s="239"/>
      <c r="W142" s="239">
        <v>17325</v>
      </c>
      <c r="X142" s="239"/>
      <c r="Y142" s="240">
        <f t="shared" ref="Y142:Y145" si="20">E142-SUM(G142:W142)</f>
        <v>129675</v>
      </c>
      <c r="AB142" s="6">
        <f t="shared" si="12"/>
        <v>0</v>
      </c>
    </row>
    <row r="143" spans="2:30" ht="13.5" customHeight="1" x14ac:dyDescent="0.2">
      <c r="E143" s="239"/>
      <c r="F143" s="240"/>
      <c r="G143" s="240"/>
      <c r="H143" s="240"/>
      <c r="I143" s="240"/>
      <c r="J143" s="240"/>
      <c r="K143" s="240"/>
      <c r="L143" s="240"/>
      <c r="M143" s="240"/>
      <c r="N143" s="240"/>
      <c r="O143" s="240"/>
      <c r="P143" s="240"/>
      <c r="Q143" s="240"/>
      <c r="R143" s="240"/>
      <c r="S143" s="240"/>
      <c r="T143" s="239"/>
      <c r="U143" s="240"/>
      <c r="V143" s="239"/>
      <c r="W143" s="239"/>
      <c r="X143" s="239"/>
      <c r="Y143" s="240">
        <f t="shared" si="20"/>
        <v>0</v>
      </c>
      <c r="AB143" s="6">
        <f t="shared" si="12"/>
        <v>0</v>
      </c>
    </row>
    <row r="144" spans="2:30" ht="13.5" customHeight="1" x14ac:dyDescent="0.2">
      <c r="E144" s="239"/>
      <c r="F144" s="240"/>
      <c r="G144" s="240"/>
      <c r="H144" s="240"/>
      <c r="I144" s="240"/>
      <c r="J144" s="240"/>
      <c r="K144" s="240"/>
      <c r="L144" s="240"/>
      <c r="M144" s="240"/>
      <c r="N144" s="240"/>
      <c r="O144" s="240"/>
      <c r="P144" s="240"/>
      <c r="Q144" s="240"/>
      <c r="R144" s="240"/>
      <c r="S144" s="240"/>
      <c r="T144" s="239"/>
      <c r="U144" s="240"/>
      <c r="V144" s="239"/>
      <c r="W144" s="239"/>
      <c r="X144" s="239"/>
      <c r="Y144" s="240">
        <f t="shared" si="20"/>
        <v>0</v>
      </c>
      <c r="AB144" s="6">
        <f t="shared" si="12"/>
        <v>0</v>
      </c>
    </row>
    <row r="145" spans="2:30" ht="13.5" customHeight="1" x14ac:dyDescent="0.2">
      <c r="E145" s="239"/>
      <c r="F145" s="240"/>
      <c r="G145" s="240"/>
      <c r="H145" s="240"/>
      <c r="I145" s="240"/>
      <c r="J145" s="240"/>
      <c r="K145" s="240"/>
      <c r="L145" s="240"/>
      <c r="M145" s="240"/>
      <c r="N145" s="240"/>
      <c r="O145" s="240"/>
      <c r="P145" s="240"/>
      <c r="Q145" s="240"/>
      <c r="R145" s="240"/>
      <c r="S145" s="240"/>
      <c r="T145" s="239"/>
      <c r="U145" s="240"/>
      <c r="V145" s="239"/>
      <c r="W145" s="239"/>
      <c r="X145" s="239"/>
      <c r="Y145" s="240">
        <f t="shared" si="20"/>
        <v>0</v>
      </c>
      <c r="AB145" s="6">
        <f t="shared" si="12"/>
        <v>0</v>
      </c>
    </row>
    <row r="146" spans="2:30" ht="13.5" customHeight="1" x14ac:dyDescent="0.2">
      <c r="B146" s="82"/>
      <c r="C146" s="82"/>
      <c r="D146" s="82"/>
      <c r="E146" s="277"/>
      <c r="F146" s="240"/>
      <c r="G146" s="277"/>
      <c r="H146" s="240"/>
      <c r="I146" s="277"/>
      <c r="J146" s="240"/>
      <c r="K146" s="277"/>
      <c r="L146" s="240"/>
      <c r="M146" s="277"/>
      <c r="N146" s="240"/>
      <c r="O146" s="277"/>
      <c r="P146" s="240"/>
      <c r="Q146" s="277"/>
      <c r="R146" s="240"/>
      <c r="S146" s="277"/>
      <c r="T146" s="278"/>
      <c r="U146" s="240"/>
      <c r="V146" s="278"/>
      <c r="W146" s="239"/>
      <c r="X146" s="278"/>
      <c r="Y146" s="239"/>
      <c r="AB146" s="6">
        <f t="shared" ref="AB146:AB194" si="21">E146-_xlfn.SINGLE(SUM(G146:Y146))</f>
        <v>0</v>
      </c>
    </row>
    <row r="147" spans="2:30" ht="13.5" customHeight="1" x14ac:dyDescent="0.2">
      <c r="C147" s="6" t="s">
        <v>367</v>
      </c>
      <c r="E147" s="276">
        <f>SUM(E141:E146)</f>
        <v>210000</v>
      </c>
      <c r="F147" s="240"/>
      <c r="G147" s="276">
        <f>SUM(G141:G146)</f>
        <v>0</v>
      </c>
      <c r="H147" s="240"/>
      <c r="I147" s="276">
        <f>SUM(I141:I146)</f>
        <v>0</v>
      </c>
      <c r="J147" s="240"/>
      <c r="K147" s="276">
        <f>SUM(K141:K146)</f>
        <v>0</v>
      </c>
      <c r="L147" s="240"/>
      <c r="M147" s="276">
        <f>SUM(M141:M146)</f>
        <v>0</v>
      </c>
      <c r="N147" s="240"/>
      <c r="O147" s="276">
        <f>SUM(O141:O146)</f>
        <v>0</v>
      </c>
      <c r="P147" s="240"/>
      <c r="Q147" s="276">
        <f>SUM(Q141:Q146)</f>
        <v>0</v>
      </c>
      <c r="R147" s="240"/>
      <c r="S147" s="276">
        <f>SUM(S141:S146)</f>
        <v>10500</v>
      </c>
      <c r="T147" s="239"/>
      <c r="U147" s="276">
        <f>SUM(U141:U146)</f>
        <v>52500</v>
      </c>
      <c r="V147" s="239"/>
      <c r="W147" s="276">
        <f>SUM(W141:W146)</f>
        <v>17325</v>
      </c>
      <c r="X147" s="239"/>
      <c r="Y147" s="276">
        <f>SUM(Y141:Y146)</f>
        <v>129675</v>
      </c>
      <c r="Z147" s="5"/>
      <c r="AB147" s="6">
        <f t="shared" si="21"/>
        <v>0</v>
      </c>
    </row>
    <row r="148" spans="2:30" ht="13.5" customHeight="1" x14ac:dyDescent="0.2">
      <c r="B148" s="82"/>
      <c r="C148" s="82"/>
      <c r="D148" s="82"/>
      <c r="E148" s="277"/>
      <c r="F148" s="240"/>
      <c r="G148" s="277"/>
      <c r="H148" s="240"/>
      <c r="I148" s="277"/>
      <c r="J148" s="240"/>
      <c r="K148" s="277"/>
      <c r="L148" s="240"/>
      <c r="M148" s="277"/>
      <c r="N148" s="240"/>
      <c r="O148" s="277"/>
      <c r="P148" s="240"/>
      <c r="Q148" s="277"/>
      <c r="R148" s="240"/>
      <c r="S148" s="277"/>
      <c r="T148" s="278"/>
      <c r="U148" s="277"/>
      <c r="V148" s="278"/>
      <c r="W148" s="239"/>
      <c r="X148" s="278"/>
      <c r="Y148" s="239"/>
      <c r="AB148" s="6">
        <f t="shared" si="21"/>
        <v>0</v>
      </c>
    </row>
    <row r="149" spans="2:30" s="20" customFormat="1" ht="13.5" customHeight="1" x14ac:dyDescent="0.2">
      <c r="B149" s="17" t="s">
        <v>140</v>
      </c>
      <c r="C149" s="17"/>
      <c r="D149" s="17"/>
      <c r="E149" s="280"/>
      <c r="F149" s="280"/>
      <c r="G149" s="280"/>
      <c r="H149" s="280"/>
      <c r="I149" s="280"/>
      <c r="J149" s="280"/>
      <c r="K149" s="280"/>
      <c r="L149" s="280"/>
      <c r="M149" s="280"/>
      <c r="N149" s="280"/>
      <c r="O149" s="280"/>
      <c r="P149" s="280"/>
      <c r="Q149" s="280"/>
      <c r="R149" s="280"/>
      <c r="S149" s="280"/>
      <c r="T149" s="287"/>
      <c r="U149" s="280"/>
      <c r="V149" s="287"/>
      <c r="W149" s="287"/>
      <c r="X149" s="287"/>
      <c r="Y149" s="287"/>
      <c r="AB149" s="6">
        <f t="shared" si="21"/>
        <v>0</v>
      </c>
      <c r="AD149" s="6"/>
    </row>
    <row r="150" spans="2:30" ht="13.5" customHeight="1" x14ac:dyDescent="0.2">
      <c r="E150" s="239"/>
      <c r="F150" s="240"/>
      <c r="G150" s="240"/>
      <c r="H150" s="240"/>
      <c r="I150" s="240"/>
      <c r="J150" s="240"/>
      <c r="K150" s="240"/>
      <c r="L150" s="240"/>
      <c r="M150" s="240"/>
      <c r="N150" s="240"/>
      <c r="O150" s="240"/>
      <c r="P150" s="240"/>
      <c r="Q150" s="240"/>
      <c r="R150" s="240"/>
      <c r="S150" s="240"/>
      <c r="T150" s="239"/>
      <c r="U150" s="240"/>
      <c r="V150" s="239"/>
      <c r="W150" s="239"/>
      <c r="X150" s="239"/>
      <c r="Y150" s="240">
        <f t="shared" ref="Y150:Y153" si="22">E150-SUM(G150:W150)</f>
        <v>0</v>
      </c>
      <c r="AB150" s="6">
        <f t="shared" si="21"/>
        <v>0</v>
      </c>
    </row>
    <row r="151" spans="2:30" ht="13.5" customHeight="1" x14ac:dyDescent="0.2">
      <c r="E151" s="239"/>
      <c r="F151" s="240"/>
      <c r="G151" s="240"/>
      <c r="H151" s="240"/>
      <c r="I151" s="240"/>
      <c r="J151" s="240"/>
      <c r="K151" s="240"/>
      <c r="L151" s="240"/>
      <c r="M151" s="240"/>
      <c r="N151" s="240"/>
      <c r="O151" s="240"/>
      <c r="P151" s="240"/>
      <c r="Q151" s="240"/>
      <c r="R151" s="240"/>
      <c r="S151" s="240"/>
      <c r="T151" s="239"/>
      <c r="U151" s="240"/>
      <c r="V151" s="239"/>
      <c r="W151" s="239"/>
      <c r="X151" s="239"/>
      <c r="Y151" s="240">
        <f t="shared" si="22"/>
        <v>0</v>
      </c>
      <c r="AB151" s="6">
        <f t="shared" si="21"/>
        <v>0</v>
      </c>
    </row>
    <row r="152" spans="2:30" ht="13.5" customHeight="1" x14ac:dyDescent="0.2">
      <c r="E152" s="239"/>
      <c r="F152" s="240"/>
      <c r="G152" s="240"/>
      <c r="H152" s="240"/>
      <c r="I152" s="240"/>
      <c r="J152" s="240"/>
      <c r="K152" s="240"/>
      <c r="L152" s="240"/>
      <c r="M152" s="240"/>
      <c r="N152" s="240"/>
      <c r="O152" s="240"/>
      <c r="P152" s="240"/>
      <c r="Q152" s="240"/>
      <c r="R152" s="240"/>
      <c r="S152" s="240"/>
      <c r="T152" s="239"/>
      <c r="U152" s="240"/>
      <c r="V152" s="239"/>
      <c r="W152" s="239"/>
      <c r="X152" s="239"/>
      <c r="Y152" s="240">
        <f t="shared" si="22"/>
        <v>0</v>
      </c>
      <c r="AB152" s="6">
        <f t="shared" si="21"/>
        <v>0</v>
      </c>
    </row>
    <row r="153" spans="2:30" ht="13.5" customHeight="1" x14ac:dyDescent="0.2">
      <c r="E153" s="239"/>
      <c r="F153" s="240"/>
      <c r="G153" s="240"/>
      <c r="H153" s="240"/>
      <c r="I153" s="240"/>
      <c r="J153" s="240"/>
      <c r="K153" s="240"/>
      <c r="L153" s="240"/>
      <c r="M153" s="240"/>
      <c r="N153" s="240"/>
      <c r="O153" s="240"/>
      <c r="P153" s="240"/>
      <c r="Q153" s="240"/>
      <c r="R153" s="240"/>
      <c r="S153" s="240"/>
      <c r="T153" s="239"/>
      <c r="U153" s="240"/>
      <c r="V153" s="239"/>
      <c r="W153" s="239"/>
      <c r="X153" s="239"/>
      <c r="Y153" s="240">
        <f t="shared" si="22"/>
        <v>0</v>
      </c>
      <c r="AB153" s="6">
        <f t="shared" si="21"/>
        <v>0</v>
      </c>
    </row>
    <row r="154" spans="2:30" ht="13.5" customHeight="1" x14ac:dyDescent="0.2">
      <c r="B154" s="82"/>
      <c r="C154" s="82"/>
      <c r="D154" s="82"/>
      <c r="E154" s="277"/>
      <c r="F154" s="240"/>
      <c r="G154" s="277"/>
      <c r="H154" s="240"/>
      <c r="I154" s="277"/>
      <c r="J154" s="240"/>
      <c r="K154" s="277"/>
      <c r="L154" s="240"/>
      <c r="M154" s="277"/>
      <c r="N154" s="240"/>
      <c r="O154" s="277"/>
      <c r="P154" s="240"/>
      <c r="Q154" s="277"/>
      <c r="R154" s="240"/>
      <c r="S154" s="277"/>
      <c r="T154" s="278"/>
      <c r="U154" s="240"/>
      <c r="V154" s="278"/>
      <c r="W154" s="239"/>
      <c r="X154" s="278"/>
      <c r="Y154" s="239"/>
      <c r="AB154" s="6">
        <f t="shared" si="21"/>
        <v>0</v>
      </c>
    </row>
    <row r="155" spans="2:30" ht="13.5" customHeight="1" x14ac:dyDescent="0.2">
      <c r="C155" s="6" t="s">
        <v>368</v>
      </c>
      <c r="E155" s="276">
        <f>SUM(E149:E154)</f>
        <v>0</v>
      </c>
      <c r="F155" s="240"/>
      <c r="G155" s="276">
        <f>SUM(G149:G154)</f>
        <v>0</v>
      </c>
      <c r="H155" s="240"/>
      <c r="I155" s="276">
        <f>SUM(I149:I154)</f>
        <v>0</v>
      </c>
      <c r="J155" s="240"/>
      <c r="K155" s="276">
        <f>SUM(K149:K154)</f>
        <v>0</v>
      </c>
      <c r="L155" s="240"/>
      <c r="M155" s="276">
        <f>SUM(M149:M154)</f>
        <v>0</v>
      </c>
      <c r="N155" s="240"/>
      <c r="O155" s="276">
        <f>SUM(O149:O154)</f>
        <v>0</v>
      </c>
      <c r="P155" s="240"/>
      <c r="Q155" s="276">
        <f>SUM(Q149:Q154)</f>
        <v>0</v>
      </c>
      <c r="R155" s="240"/>
      <c r="S155" s="276">
        <f>SUM(S149:S154)</f>
        <v>0</v>
      </c>
      <c r="T155" s="239"/>
      <c r="U155" s="276">
        <f>SUM(U149:U154)</f>
        <v>0</v>
      </c>
      <c r="V155" s="239"/>
      <c r="W155" s="276">
        <f>SUM(W149:W154)</f>
        <v>0</v>
      </c>
      <c r="X155" s="239"/>
      <c r="Y155" s="276">
        <f>SUM(Y149:Y154)</f>
        <v>0</v>
      </c>
      <c r="Z155" s="5"/>
      <c r="AB155" s="6">
        <f t="shared" si="21"/>
        <v>0</v>
      </c>
    </row>
    <row r="156" spans="2:30" ht="13.5" customHeight="1" x14ac:dyDescent="0.2">
      <c r="B156" s="82"/>
      <c r="C156" s="82"/>
      <c r="D156" s="82"/>
      <c r="E156" s="277"/>
      <c r="F156" s="240"/>
      <c r="G156" s="277"/>
      <c r="H156" s="240"/>
      <c r="I156" s="277"/>
      <c r="J156" s="240"/>
      <c r="K156" s="277"/>
      <c r="L156" s="240"/>
      <c r="M156" s="277"/>
      <c r="N156" s="240"/>
      <c r="O156" s="277"/>
      <c r="P156" s="240"/>
      <c r="Q156" s="277"/>
      <c r="R156" s="240"/>
      <c r="S156" s="277"/>
      <c r="T156" s="278"/>
      <c r="U156" s="277"/>
      <c r="V156" s="278"/>
      <c r="W156" s="239"/>
      <c r="X156" s="278"/>
      <c r="Y156" s="239"/>
      <c r="AB156" s="6">
        <f t="shared" si="21"/>
        <v>0</v>
      </c>
    </row>
    <row r="157" spans="2:30" ht="13.5" customHeight="1" x14ac:dyDescent="0.2">
      <c r="B157" s="17" t="s">
        <v>181</v>
      </c>
      <c r="C157" s="17"/>
      <c r="D157" s="17"/>
      <c r="E157" s="280"/>
      <c r="F157" s="280"/>
      <c r="G157" s="280"/>
      <c r="H157" s="280"/>
      <c r="I157" s="280"/>
      <c r="J157" s="280"/>
      <c r="K157" s="280"/>
      <c r="L157" s="280"/>
      <c r="M157" s="280"/>
      <c r="N157" s="280"/>
      <c r="O157" s="280"/>
      <c r="P157" s="280"/>
      <c r="Q157" s="280"/>
      <c r="R157" s="280"/>
      <c r="S157" s="280"/>
      <c r="T157" s="287"/>
      <c r="U157" s="280"/>
      <c r="V157" s="287"/>
      <c r="W157" s="239"/>
      <c r="X157" s="287"/>
      <c r="Y157" s="239"/>
      <c r="AB157" s="6">
        <f t="shared" si="21"/>
        <v>0</v>
      </c>
    </row>
    <row r="158" spans="2:30" ht="13.5" customHeight="1" x14ac:dyDescent="0.2">
      <c r="E158" s="239"/>
      <c r="F158" s="240"/>
      <c r="G158" s="240"/>
      <c r="H158" s="240"/>
      <c r="I158" s="240"/>
      <c r="J158" s="240"/>
      <c r="K158" s="240"/>
      <c r="L158" s="240"/>
      <c r="M158" s="240"/>
      <c r="N158" s="240"/>
      <c r="O158" s="240"/>
      <c r="P158" s="240"/>
      <c r="Q158" s="240"/>
      <c r="R158" s="240"/>
      <c r="S158" s="240"/>
      <c r="T158" s="239"/>
      <c r="U158" s="240"/>
      <c r="V158" s="239"/>
      <c r="W158" s="239"/>
      <c r="X158" s="239"/>
      <c r="Y158" s="240">
        <f t="shared" ref="Y158:Y161" si="23">E158-SUM(G158:W158)</f>
        <v>0</v>
      </c>
      <c r="AB158" s="6">
        <f t="shared" si="21"/>
        <v>0</v>
      </c>
    </row>
    <row r="159" spans="2:30" ht="13.5" customHeight="1" x14ac:dyDescent="0.2">
      <c r="E159" s="239"/>
      <c r="F159" s="240"/>
      <c r="G159" s="239"/>
      <c r="H159" s="240"/>
      <c r="I159" s="239"/>
      <c r="J159" s="240"/>
      <c r="K159" s="239"/>
      <c r="L159" s="240"/>
      <c r="M159" s="239"/>
      <c r="N159" s="240"/>
      <c r="O159" s="239"/>
      <c r="P159" s="240"/>
      <c r="Q159" s="239"/>
      <c r="R159" s="240"/>
      <c r="S159" s="239"/>
      <c r="T159" s="239"/>
      <c r="U159" s="240"/>
      <c r="V159" s="239"/>
      <c r="W159" s="239"/>
      <c r="X159" s="239"/>
      <c r="Y159" s="240">
        <f t="shared" si="23"/>
        <v>0</v>
      </c>
      <c r="AB159" s="6">
        <f t="shared" si="21"/>
        <v>0</v>
      </c>
    </row>
    <row r="160" spans="2:30" ht="13.5" customHeight="1" x14ac:dyDescent="0.2">
      <c r="E160" s="239"/>
      <c r="F160" s="240"/>
      <c r="G160" s="240"/>
      <c r="H160" s="240"/>
      <c r="I160" s="240"/>
      <c r="J160" s="240"/>
      <c r="K160" s="240"/>
      <c r="L160" s="240"/>
      <c r="M160" s="240"/>
      <c r="N160" s="240"/>
      <c r="O160" s="240"/>
      <c r="P160" s="240"/>
      <c r="Q160" s="240"/>
      <c r="R160" s="240"/>
      <c r="S160" s="240"/>
      <c r="T160" s="239"/>
      <c r="U160" s="240"/>
      <c r="V160" s="239"/>
      <c r="W160" s="239"/>
      <c r="X160" s="239"/>
      <c r="Y160" s="240">
        <f t="shared" si="23"/>
        <v>0</v>
      </c>
      <c r="AB160" s="6">
        <f t="shared" si="21"/>
        <v>0</v>
      </c>
    </row>
    <row r="161" spans="2:28" ht="13.5" customHeight="1" x14ac:dyDescent="0.2">
      <c r="E161" s="239"/>
      <c r="F161" s="240"/>
      <c r="G161" s="240"/>
      <c r="H161" s="240"/>
      <c r="I161" s="240"/>
      <c r="J161" s="240"/>
      <c r="K161" s="240"/>
      <c r="L161" s="240"/>
      <c r="M161" s="240"/>
      <c r="N161" s="240"/>
      <c r="O161" s="240"/>
      <c r="P161" s="240"/>
      <c r="Q161" s="240"/>
      <c r="R161" s="240"/>
      <c r="S161" s="240"/>
      <c r="T161" s="239"/>
      <c r="U161" s="240"/>
      <c r="V161" s="239"/>
      <c r="W161" s="239"/>
      <c r="X161" s="239"/>
      <c r="Y161" s="240">
        <f t="shared" si="23"/>
        <v>0</v>
      </c>
      <c r="AB161" s="6">
        <f t="shared" si="21"/>
        <v>0</v>
      </c>
    </row>
    <row r="162" spans="2:28" ht="13.5" customHeight="1" x14ac:dyDescent="0.2">
      <c r="B162" s="82"/>
      <c r="C162" s="82"/>
      <c r="D162" s="82"/>
      <c r="E162" s="277"/>
      <c r="F162" s="240"/>
      <c r="G162" s="277"/>
      <c r="H162" s="240"/>
      <c r="I162" s="277"/>
      <c r="J162" s="240"/>
      <c r="K162" s="277"/>
      <c r="L162" s="240"/>
      <c r="M162" s="277"/>
      <c r="N162" s="240"/>
      <c r="O162" s="277"/>
      <c r="P162" s="240"/>
      <c r="Q162" s="277"/>
      <c r="R162" s="240"/>
      <c r="S162" s="277"/>
      <c r="T162" s="278"/>
      <c r="U162" s="240"/>
      <c r="V162" s="278"/>
      <c r="W162" s="239"/>
      <c r="X162" s="278"/>
      <c r="Y162" s="239"/>
      <c r="AB162" s="6">
        <f t="shared" si="21"/>
        <v>0</v>
      </c>
    </row>
    <row r="163" spans="2:28" ht="13.5" customHeight="1" x14ac:dyDescent="0.2">
      <c r="C163" s="6" t="s">
        <v>369</v>
      </c>
      <c r="E163" s="276">
        <f>SUM(E157:E162)</f>
        <v>0</v>
      </c>
      <c r="F163" s="240"/>
      <c r="G163" s="276">
        <f>SUM(G157:G162)</f>
        <v>0</v>
      </c>
      <c r="H163" s="240"/>
      <c r="I163" s="276">
        <f>SUM(I157:I162)</f>
        <v>0</v>
      </c>
      <c r="J163" s="240"/>
      <c r="K163" s="276">
        <f>SUM(K157:K162)</f>
        <v>0</v>
      </c>
      <c r="L163" s="240"/>
      <c r="M163" s="276">
        <f>SUM(M157:M162)</f>
        <v>0</v>
      </c>
      <c r="N163" s="240"/>
      <c r="O163" s="276">
        <f>SUM(O157:O162)</f>
        <v>0</v>
      </c>
      <c r="P163" s="240"/>
      <c r="Q163" s="276">
        <f>SUM(Q157:Q162)</f>
        <v>0</v>
      </c>
      <c r="R163" s="240"/>
      <c r="S163" s="276">
        <f>SUM(S157:S162)</f>
        <v>0</v>
      </c>
      <c r="T163" s="239"/>
      <c r="U163" s="276">
        <f>SUM(U157:U162)</f>
        <v>0</v>
      </c>
      <c r="V163" s="239"/>
      <c r="W163" s="276">
        <f>SUM(W157:W162)</f>
        <v>0</v>
      </c>
      <c r="X163" s="239"/>
      <c r="Y163" s="276">
        <f>SUM(Y157:Y162)</f>
        <v>0</v>
      </c>
      <c r="Z163" s="5"/>
      <c r="AB163" s="6">
        <f t="shared" si="21"/>
        <v>0</v>
      </c>
    </row>
    <row r="164" spans="2:28" ht="13.5" customHeight="1" x14ac:dyDescent="0.2">
      <c r="E164" s="262"/>
      <c r="F164" s="240"/>
      <c r="G164" s="262"/>
      <c r="H164" s="240"/>
      <c r="I164" s="262"/>
      <c r="J164" s="240"/>
      <c r="K164" s="262"/>
      <c r="L164" s="240"/>
      <c r="M164" s="262"/>
      <c r="N164" s="240"/>
      <c r="O164" s="262"/>
      <c r="P164" s="240"/>
      <c r="Q164" s="262"/>
      <c r="R164" s="240"/>
      <c r="S164" s="262"/>
      <c r="T164" s="239"/>
      <c r="U164" s="262"/>
      <c r="V164" s="239"/>
      <c r="W164" s="262"/>
      <c r="X164" s="239"/>
      <c r="Y164" s="262"/>
      <c r="Z164" s="5"/>
      <c r="AB164" s="6">
        <f t="shared" si="21"/>
        <v>0</v>
      </c>
    </row>
    <row r="165" spans="2:28" ht="13.5" customHeight="1" x14ac:dyDescent="0.2">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5"/>
      <c r="AB165" s="6">
        <f t="shared" si="21"/>
        <v>0</v>
      </c>
    </row>
    <row r="166" spans="2:28" ht="13.5" customHeight="1" x14ac:dyDescent="0.2">
      <c r="C166" s="6" t="s">
        <v>51</v>
      </c>
      <c r="E166" s="276">
        <f>E115+E155+E147+E139+E131+E123+E107+E99+E90+E82+E74+E66+E57+E49+E40+E30+E21+E163</f>
        <v>15857500</v>
      </c>
      <c r="F166" s="240"/>
      <c r="G166" s="276">
        <f>G115+G155+G147+G139+G131+G123+G107+G99+G90+G82+G74+G66+G57+G49+G40+G30+G21+G163</f>
        <v>700087</v>
      </c>
      <c r="H166" s="240"/>
      <c r="I166" s="276">
        <f>I115+I155+I147+I139+I131+I123+I107+I99+I90+I82+I74+I66+I57+I49+I40+I30+I21+I163</f>
        <v>2316800</v>
      </c>
      <c r="J166" s="240"/>
      <c r="K166" s="276">
        <f>K115+K155+K147+K139+K131+K123+K107+K99+K90+K82+K74+K66+K57+K49+K40+K30+K21+K163</f>
        <v>0</v>
      </c>
      <c r="L166" s="240"/>
      <c r="M166" s="276">
        <f>M115+M155+M147+M139+M131+M123+M107+M99+M90+M82+M74+M66+M57+M49+M40+M30+M21+M163</f>
        <v>196000</v>
      </c>
      <c r="N166" s="240"/>
      <c r="O166" s="276">
        <f>O115+O155+O147+O139+O131+O123+O107+O99+O90+O82+O74+O66+O57+O49+O40+O30+O21+O163</f>
        <v>0</v>
      </c>
      <c r="P166" s="240"/>
      <c r="Q166" s="276">
        <f>Q115+Q155+Q147+Q139+Q131+Q123+Q107+Q99+Q90+Q82+Q74+Q66+Q57+Q49+Q40+Q30+Q21+Q163</f>
        <v>25000</v>
      </c>
      <c r="R166" s="240"/>
      <c r="S166" s="276">
        <f>S115+S155+S147+S139+S131+S123+S107+S99+S90+S82+S74+S66+S57+S49+S40+S30+S21+S163</f>
        <v>580567</v>
      </c>
      <c r="T166" s="239"/>
      <c r="U166" s="276">
        <f>U115+U155+U147+U139+U131+U123+U107+U99+U90+U82+U74+U66+U57+U49+U40+U30+U21+U163</f>
        <v>2902832</v>
      </c>
      <c r="V166" s="239"/>
      <c r="W166" s="276">
        <f>W115+W155+W147+W139+W131+W123+W107+W99+W90+W82+W74+W66+W57+W49+W40+W30+W21+W163</f>
        <v>957937.11</v>
      </c>
      <c r="X166" s="239"/>
      <c r="Y166" s="276">
        <f>Y115+Y155+Y147+Y139+Y131+Y123+Y107+Y99+Y90+Y82+Y74+Y66+Y57+Y49+Y40+Y30+Y21+Y163</f>
        <v>8178276.8900000006</v>
      </c>
      <c r="Z166" s="5"/>
      <c r="AB166" s="6">
        <f t="shared" si="21"/>
        <v>0</v>
      </c>
    </row>
    <row r="167" spans="2:28" ht="13.5" customHeight="1" x14ac:dyDescent="0.2">
      <c r="E167" s="240"/>
      <c r="F167" s="240"/>
      <c r="G167" s="240"/>
      <c r="H167" s="240"/>
      <c r="I167" s="240"/>
      <c r="J167" s="240"/>
      <c r="K167" s="240"/>
      <c r="L167" s="240"/>
      <c r="M167" s="240"/>
      <c r="N167" s="240"/>
      <c r="O167" s="240"/>
      <c r="P167" s="240"/>
      <c r="Q167" s="240"/>
      <c r="R167" s="240"/>
      <c r="S167" s="240"/>
      <c r="T167" s="239"/>
      <c r="U167" s="240"/>
      <c r="V167" s="239"/>
      <c r="W167" s="239"/>
      <c r="X167" s="239"/>
      <c r="Y167" s="239"/>
      <c r="AB167" s="6">
        <f t="shared" si="21"/>
        <v>0</v>
      </c>
    </row>
    <row r="168" spans="2:28" ht="16.5" customHeight="1" x14ac:dyDescent="0.2">
      <c r="B168" s="84" t="s">
        <v>158</v>
      </c>
      <c r="E168" s="239"/>
      <c r="F168" s="240"/>
      <c r="G168" s="239"/>
      <c r="H168" s="240"/>
      <c r="I168" s="239"/>
      <c r="J168" s="240"/>
      <c r="K168" s="239"/>
      <c r="L168" s="240"/>
      <c r="M168" s="239"/>
      <c r="N168" s="240"/>
      <c r="O168" s="239"/>
      <c r="P168" s="240"/>
      <c r="Q168" s="239"/>
      <c r="R168" s="240"/>
      <c r="S168" s="239"/>
      <c r="T168" s="239"/>
      <c r="U168" s="239"/>
      <c r="V168" s="239"/>
      <c r="W168" s="239"/>
      <c r="X168" s="239"/>
      <c r="Y168" s="239"/>
      <c r="AB168" s="6">
        <f t="shared" si="21"/>
        <v>0</v>
      </c>
    </row>
    <row r="169" spans="2:28" ht="13.5" customHeight="1" x14ac:dyDescent="0.2">
      <c r="C169" s="398" t="s">
        <v>530</v>
      </c>
      <c r="D169" s="398"/>
      <c r="E169" s="398">
        <v>65000</v>
      </c>
      <c r="F169" s="240"/>
      <c r="G169" s="239"/>
      <c r="H169" s="240"/>
      <c r="I169" s="239"/>
      <c r="J169" s="240"/>
      <c r="K169" s="239"/>
      <c r="L169" s="240"/>
      <c r="M169" s="239"/>
      <c r="N169" s="240"/>
      <c r="O169" s="239"/>
      <c r="P169" s="240"/>
      <c r="Q169" s="239"/>
      <c r="R169" s="240"/>
      <c r="S169" s="239">
        <v>2850</v>
      </c>
      <c r="T169" s="239"/>
      <c r="U169" s="240">
        <v>14250</v>
      </c>
      <c r="V169" s="239"/>
      <c r="W169" s="239">
        <v>4702.5</v>
      </c>
      <c r="X169" s="239"/>
      <c r="Y169" s="240">
        <f t="shared" ref="Y169:Y172" si="24">E169-SUM(G169:W169)</f>
        <v>43197.5</v>
      </c>
      <c r="AB169" s="6">
        <f t="shared" si="21"/>
        <v>0</v>
      </c>
    </row>
    <row r="170" spans="2:28" ht="13.5" customHeight="1" x14ac:dyDescent="0.2">
      <c r="C170" s="398" t="s">
        <v>531</v>
      </c>
      <c r="D170" s="398"/>
      <c r="E170" s="398">
        <v>78000</v>
      </c>
      <c r="F170" s="240"/>
      <c r="G170" s="239"/>
      <c r="H170" s="240"/>
      <c r="I170" s="239"/>
      <c r="J170" s="240"/>
      <c r="K170" s="239"/>
      <c r="L170" s="240"/>
      <c r="M170" s="239"/>
      <c r="N170" s="240"/>
      <c r="O170" s="239"/>
      <c r="P170" s="240"/>
      <c r="Q170" s="239"/>
      <c r="R170" s="240"/>
      <c r="S170" s="239">
        <v>3900</v>
      </c>
      <c r="T170" s="239"/>
      <c r="U170" s="240">
        <v>19500</v>
      </c>
      <c r="V170" s="239"/>
      <c r="W170" s="239">
        <v>6435</v>
      </c>
      <c r="X170" s="239"/>
      <c r="Y170" s="240">
        <f t="shared" si="24"/>
        <v>48165</v>
      </c>
      <c r="AB170" s="6">
        <f t="shared" si="21"/>
        <v>0</v>
      </c>
    </row>
    <row r="171" spans="2:28" ht="13.5" customHeight="1" x14ac:dyDescent="0.2">
      <c r="C171" s="398" t="s">
        <v>518</v>
      </c>
      <c r="D171" s="398"/>
      <c r="E171" s="398">
        <v>69000</v>
      </c>
      <c r="F171" s="240"/>
      <c r="G171" s="239"/>
      <c r="H171" s="240"/>
      <c r="I171" s="239">
        <v>33480</v>
      </c>
      <c r="J171" s="240"/>
      <c r="K171" s="239"/>
      <c r="L171" s="240"/>
      <c r="M171" s="239"/>
      <c r="N171" s="240"/>
      <c r="O171" s="239"/>
      <c r="P171" s="240"/>
      <c r="Q171" s="239"/>
      <c r="R171" s="240"/>
      <c r="S171" s="239">
        <v>1626</v>
      </c>
      <c r="T171" s="239"/>
      <c r="U171" s="240">
        <v>8130</v>
      </c>
      <c r="V171" s="239"/>
      <c r="W171" s="239">
        <v>2682.9</v>
      </c>
      <c r="X171" s="239"/>
      <c r="Y171" s="240">
        <f t="shared" si="24"/>
        <v>23081.1</v>
      </c>
      <c r="AB171" s="6">
        <f t="shared" si="21"/>
        <v>0</v>
      </c>
    </row>
    <row r="172" spans="2:28" ht="13.5" customHeight="1" x14ac:dyDescent="0.2">
      <c r="C172" s="398" t="s">
        <v>519</v>
      </c>
      <c r="D172" s="398"/>
      <c r="E172" s="398">
        <v>50000</v>
      </c>
      <c r="F172" s="240"/>
      <c r="G172" s="239"/>
      <c r="H172" s="240"/>
      <c r="I172" s="239"/>
      <c r="J172" s="240"/>
      <c r="K172" s="239"/>
      <c r="L172" s="240"/>
      <c r="M172" s="239"/>
      <c r="N172" s="240"/>
      <c r="O172" s="239"/>
      <c r="P172" s="240"/>
      <c r="Q172" s="239"/>
      <c r="R172" s="240"/>
      <c r="S172" s="239">
        <v>2500</v>
      </c>
      <c r="T172" s="239"/>
      <c r="U172" s="240">
        <v>12500</v>
      </c>
      <c r="V172" s="239"/>
      <c r="W172" s="239">
        <v>4125</v>
      </c>
      <c r="X172" s="239"/>
      <c r="Y172" s="240">
        <f t="shared" si="24"/>
        <v>30875</v>
      </c>
      <c r="AB172" s="6">
        <f t="shared" si="21"/>
        <v>0</v>
      </c>
    </row>
    <row r="173" spans="2:28" ht="12.75" customHeight="1" x14ac:dyDescent="0.2">
      <c r="E173" s="239"/>
      <c r="F173" s="240"/>
      <c r="G173" s="239"/>
      <c r="H173" s="240"/>
      <c r="I173" s="239"/>
      <c r="J173" s="240"/>
      <c r="K173" s="239"/>
      <c r="L173" s="240"/>
      <c r="M173" s="239"/>
      <c r="N173" s="240"/>
      <c r="O173" s="239"/>
      <c r="P173" s="240"/>
      <c r="Q173" s="239"/>
      <c r="R173" s="240"/>
      <c r="S173" s="239"/>
      <c r="T173" s="239"/>
      <c r="U173" s="240"/>
      <c r="V173" s="239"/>
      <c r="W173" s="239"/>
      <c r="X173" s="239"/>
      <c r="Y173" s="239"/>
      <c r="AB173" s="6">
        <f t="shared" si="21"/>
        <v>0</v>
      </c>
    </row>
    <row r="174" spans="2:28" ht="13.5" customHeight="1" x14ac:dyDescent="0.2">
      <c r="C174" s="6" t="s">
        <v>228</v>
      </c>
      <c r="E174" s="276">
        <f>SUM(E168:E173)</f>
        <v>262000</v>
      </c>
      <c r="F174" s="240"/>
      <c r="G174" s="276">
        <f>SUM(G168:G173)</f>
        <v>0</v>
      </c>
      <c r="H174" s="240"/>
      <c r="I174" s="276">
        <f>SUM(I168:I173)</f>
        <v>33480</v>
      </c>
      <c r="J174" s="240"/>
      <c r="K174" s="276">
        <f>SUM(K168:K173)</f>
        <v>0</v>
      </c>
      <c r="L174" s="240"/>
      <c r="M174" s="276">
        <f>SUM(M168:M173)</f>
        <v>0</v>
      </c>
      <c r="N174" s="240"/>
      <c r="O174" s="276">
        <f>SUM(O168:O173)</f>
        <v>0</v>
      </c>
      <c r="P174" s="240"/>
      <c r="Q174" s="276">
        <f>SUM(Q168:Q173)</f>
        <v>0</v>
      </c>
      <c r="R174" s="240"/>
      <c r="S174" s="276">
        <f>SUM(S168:S173)</f>
        <v>10876</v>
      </c>
      <c r="T174" s="239"/>
      <c r="U174" s="276">
        <f>SUM(U168:U173)</f>
        <v>54380</v>
      </c>
      <c r="V174" s="239"/>
      <c r="W174" s="276">
        <f>SUM(W168:W173)</f>
        <v>17945.400000000001</v>
      </c>
      <c r="X174" s="239"/>
      <c r="Y174" s="276">
        <f>SUM(Y168:Y173)</f>
        <v>145318.6</v>
      </c>
      <c r="Z174" s="5"/>
      <c r="AB174" s="6">
        <f t="shared" si="21"/>
        <v>0</v>
      </c>
    </row>
    <row r="175" spans="2:28" ht="13.5" customHeight="1" x14ac:dyDescent="0.2">
      <c r="E175" s="239"/>
      <c r="F175" s="239"/>
      <c r="G175" s="239"/>
      <c r="H175" s="239"/>
      <c r="I175" s="239"/>
      <c r="J175" s="239"/>
      <c r="K175" s="239"/>
      <c r="L175" s="239"/>
      <c r="M175" s="239"/>
      <c r="N175" s="239"/>
      <c r="O175" s="239"/>
      <c r="P175" s="239"/>
      <c r="Q175" s="239"/>
      <c r="R175" s="239"/>
      <c r="S175" s="239"/>
      <c r="T175" s="239"/>
      <c r="U175" s="239"/>
      <c r="V175" s="239"/>
      <c r="W175" s="239"/>
      <c r="X175" s="239"/>
      <c r="Y175" s="239"/>
      <c r="AB175" s="6">
        <f t="shared" si="21"/>
        <v>0</v>
      </c>
    </row>
    <row r="176" spans="2:28" ht="13.5" customHeight="1" x14ac:dyDescent="0.2">
      <c r="B176" s="84" t="s">
        <v>424</v>
      </c>
      <c r="E176" s="239"/>
      <c r="F176" s="240"/>
      <c r="G176" s="239"/>
      <c r="H176" s="240"/>
      <c r="I176" s="239"/>
      <c r="J176" s="240"/>
      <c r="K176" s="239"/>
      <c r="L176" s="240"/>
      <c r="M176" s="239"/>
      <c r="N176" s="240"/>
      <c r="O176" s="239"/>
      <c r="P176" s="240"/>
      <c r="Q176" s="239"/>
      <c r="R176" s="240"/>
      <c r="S176" s="239"/>
      <c r="T176" s="239"/>
      <c r="U176" s="239"/>
      <c r="V176" s="239"/>
      <c r="W176" s="239"/>
      <c r="X176" s="239"/>
      <c r="Y176" s="239"/>
      <c r="AB176" s="6">
        <f t="shared" si="21"/>
        <v>0</v>
      </c>
    </row>
    <row r="177" spans="2:28" ht="13.5" customHeight="1" x14ac:dyDescent="0.2">
      <c r="D177" s="6" t="s">
        <v>327</v>
      </c>
      <c r="E177" s="239">
        <v>125000</v>
      </c>
      <c r="F177" s="240"/>
      <c r="G177" s="239"/>
      <c r="H177" s="240"/>
      <c r="I177" s="239">
        <v>77000</v>
      </c>
      <c r="J177" s="240"/>
      <c r="K177" s="239"/>
      <c r="L177" s="240"/>
      <c r="M177" s="239"/>
      <c r="N177" s="240"/>
      <c r="O177" s="239"/>
      <c r="P177" s="240"/>
      <c r="Q177" s="239"/>
      <c r="R177" s="240"/>
      <c r="S177" s="239">
        <v>2400</v>
      </c>
      <c r="T177" s="239"/>
      <c r="U177" s="240">
        <v>12000</v>
      </c>
      <c r="V177" s="239"/>
      <c r="W177" s="239">
        <v>3960</v>
      </c>
      <c r="X177" s="239"/>
      <c r="Y177" s="240">
        <f t="shared" ref="Y177:Y179" si="25">E177-SUM(G177:W177)</f>
        <v>29640</v>
      </c>
      <c r="AB177" s="6">
        <f t="shared" si="21"/>
        <v>0</v>
      </c>
    </row>
    <row r="178" spans="2:28" ht="13.5" customHeight="1" x14ac:dyDescent="0.2">
      <c r="E178" s="239"/>
      <c r="F178" s="240"/>
      <c r="G178" s="239"/>
      <c r="H178" s="240"/>
      <c r="I178" s="239"/>
      <c r="J178" s="240"/>
      <c r="K178" s="239"/>
      <c r="L178" s="240"/>
      <c r="M178" s="239"/>
      <c r="N178" s="240"/>
      <c r="O178" s="239"/>
      <c r="P178" s="240"/>
      <c r="Q178" s="239"/>
      <c r="R178" s="240"/>
      <c r="S178" s="239"/>
      <c r="T178" s="239"/>
      <c r="U178" s="240"/>
      <c r="V178" s="239"/>
      <c r="W178" s="239"/>
      <c r="X178" s="239"/>
      <c r="Y178" s="240">
        <f t="shared" si="25"/>
        <v>0</v>
      </c>
      <c r="AB178" s="6">
        <f t="shared" si="21"/>
        <v>0</v>
      </c>
    </row>
    <row r="179" spans="2:28" ht="13.5" customHeight="1" x14ac:dyDescent="0.2">
      <c r="E179" s="239"/>
      <c r="F179" s="240"/>
      <c r="G179" s="239"/>
      <c r="H179" s="240"/>
      <c r="I179" s="239"/>
      <c r="J179" s="240"/>
      <c r="K179" s="239"/>
      <c r="L179" s="240"/>
      <c r="M179" s="239"/>
      <c r="N179" s="240"/>
      <c r="O179" s="239"/>
      <c r="P179" s="240"/>
      <c r="Q179" s="239"/>
      <c r="R179" s="240"/>
      <c r="S179" s="239"/>
      <c r="T179" s="239"/>
      <c r="U179" s="240"/>
      <c r="V179" s="239"/>
      <c r="W179" s="239"/>
      <c r="X179" s="239"/>
      <c r="Y179" s="240">
        <f t="shared" si="25"/>
        <v>0</v>
      </c>
      <c r="AB179" s="6">
        <f t="shared" si="21"/>
        <v>0</v>
      </c>
    </row>
    <row r="180" spans="2:28" ht="13.5" customHeight="1" x14ac:dyDescent="0.2">
      <c r="E180" s="239"/>
      <c r="F180" s="240"/>
      <c r="G180" s="239"/>
      <c r="H180" s="240"/>
      <c r="I180" s="239"/>
      <c r="J180" s="240"/>
      <c r="K180" s="239"/>
      <c r="L180" s="240"/>
      <c r="M180" s="239"/>
      <c r="N180" s="240"/>
      <c r="O180" s="239"/>
      <c r="P180" s="240"/>
      <c r="Q180" s="239"/>
      <c r="R180" s="240"/>
      <c r="S180" s="239"/>
      <c r="T180" s="239"/>
      <c r="U180" s="240"/>
      <c r="V180" s="239"/>
      <c r="W180" s="239"/>
      <c r="X180" s="239"/>
      <c r="Y180" s="239"/>
      <c r="AB180" s="6">
        <f t="shared" si="21"/>
        <v>0</v>
      </c>
    </row>
    <row r="181" spans="2:28" ht="13.5" customHeight="1" x14ac:dyDescent="0.2">
      <c r="C181" s="6" t="s">
        <v>370</v>
      </c>
      <c r="E181" s="276">
        <f>SUM(E176:E180)</f>
        <v>125000</v>
      </c>
      <c r="F181" s="240"/>
      <c r="G181" s="276">
        <f>SUM(G176:G180)</f>
        <v>0</v>
      </c>
      <c r="H181" s="240"/>
      <c r="I181" s="276">
        <f>SUM(I176:I180)</f>
        <v>77000</v>
      </c>
      <c r="J181" s="240"/>
      <c r="K181" s="276">
        <f>SUM(K176:K180)</f>
        <v>0</v>
      </c>
      <c r="L181" s="240"/>
      <c r="M181" s="276">
        <f>SUM(M176:M180)</f>
        <v>0</v>
      </c>
      <c r="N181" s="240"/>
      <c r="O181" s="276">
        <f>SUM(O176:O180)</f>
        <v>0</v>
      </c>
      <c r="P181" s="240"/>
      <c r="Q181" s="276">
        <f>SUM(Q176:Q180)</f>
        <v>0</v>
      </c>
      <c r="R181" s="240"/>
      <c r="S181" s="276">
        <f>SUM(S176:S180)</f>
        <v>2400</v>
      </c>
      <c r="T181" s="239"/>
      <c r="U181" s="276">
        <f>SUM(U176:U180)</f>
        <v>12000</v>
      </c>
      <c r="V181" s="239"/>
      <c r="W181" s="276">
        <f>SUM(W176:W180)</f>
        <v>3960</v>
      </c>
      <c r="X181" s="239"/>
      <c r="Y181" s="276">
        <f>SUM(Y176:Y180)</f>
        <v>29640</v>
      </c>
      <c r="Z181" s="5"/>
      <c r="AB181" s="6">
        <f t="shared" si="21"/>
        <v>0</v>
      </c>
    </row>
    <row r="182" spans="2:28" ht="13.5" customHeight="1" x14ac:dyDescent="0.2">
      <c r="E182" s="240"/>
      <c r="F182" s="240"/>
      <c r="G182" s="240"/>
      <c r="H182" s="240"/>
      <c r="I182" s="240"/>
      <c r="J182" s="240"/>
      <c r="K182" s="240"/>
      <c r="L182" s="240"/>
      <c r="M182" s="240"/>
      <c r="N182" s="240"/>
      <c r="O182" s="240"/>
      <c r="P182" s="240"/>
      <c r="Q182" s="240"/>
      <c r="R182" s="240"/>
      <c r="S182" s="240"/>
      <c r="T182" s="239"/>
      <c r="U182" s="240"/>
      <c r="V182" s="239"/>
      <c r="W182" s="240"/>
      <c r="X182" s="239"/>
      <c r="Y182" s="240"/>
      <c r="Z182" s="5"/>
      <c r="AB182" s="6">
        <f t="shared" si="21"/>
        <v>0</v>
      </c>
    </row>
    <row r="183" spans="2:28" ht="13.5" customHeight="1" x14ac:dyDescent="0.2">
      <c r="B183" s="84" t="s">
        <v>52</v>
      </c>
      <c r="E183" s="239"/>
      <c r="F183" s="239"/>
      <c r="G183" s="239"/>
      <c r="H183" s="239"/>
      <c r="I183" s="239"/>
      <c r="J183" s="239"/>
      <c r="K183" s="239"/>
      <c r="L183" s="239"/>
      <c r="M183" s="239"/>
      <c r="N183" s="239"/>
      <c r="O183" s="239"/>
      <c r="P183" s="239"/>
      <c r="Q183" s="239"/>
      <c r="R183" s="239"/>
      <c r="S183" s="239"/>
      <c r="T183" s="239"/>
      <c r="U183" s="239"/>
      <c r="V183" s="239"/>
      <c r="W183" s="239"/>
      <c r="X183" s="239"/>
      <c r="Y183" s="239"/>
      <c r="AB183" s="6">
        <f t="shared" si="21"/>
        <v>0</v>
      </c>
    </row>
    <row r="184" spans="2:28" ht="13.5" customHeight="1" x14ac:dyDescent="0.2">
      <c r="B184" s="84"/>
      <c r="C184" s="6" t="s">
        <v>321</v>
      </c>
      <c r="E184" s="239">
        <v>128900</v>
      </c>
      <c r="F184" s="239"/>
      <c r="G184" s="239"/>
      <c r="H184" s="239"/>
      <c r="I184" s="239"/>
      <c r="J184" s="239"/>
      <c r="K184" s="239"/>
      <c r="L184" s="239"/>
      <c r="M184" s="239">
        <v>28900</v>
      </c>
      <c r="N184" s="239"/>
      <c r="O184" s="239"/>
      <c r="P184" s="239"/>
      <c r="Q184" s="239"/>
      <c r="R184" s="239"/>
      <c r="S184" s="239"/>
      <c r="T184" s="239"/>
      <c r="U184" s="239">
        <v>25000</v>
      </c>
      <c r="V184" s="239"/>
      <c r="W184" s="239">
        <v>8250</v>
      </c>
      <c r="X184" s="239"/>
      <c r="Y184" s="240">
        <f>E184-SUM(G184:W184)</f>
        <v>66750</v>
      </c>
      <c r="AB184" s="6">
        <f t="shared" ref="AB184" si="26">E184-_xlfn.SINGLE(SUM(G184:Y184))</f>
        <v>0</v>
      </c>
    </row>
    <row r="185" spans="2:28" ht="13.5" customHeight="1" x14ac:dyDescent="0.2">
      <c r="C185" s="6" t="s">
        <v>53</v>
      </c>
      <c r="E185" s="239">
        <v>5354000</v>
      </c>
      <c r="F185" s="239"/>
      <c r="G185" s="239">
        <v>60000</v>
      </c>
      <c r="H185" s="239"/>
      <c r="I185" s="239">
        <v>55000</v>
      </c>
      <c r="J185" s="239"/>
      <c r="K185" s="239"/>
      <c r="L185" s="239"/>
      <c r="M185" s="239">
        <v>110000</v>
      </c>
      <c r="N185" s="239"/>
      <c r="O185" s="239">
        <v>40800</v>
      </c>
      <c r="P185" s="239"/>
      <c r="Q185" s="239"/>
      <c r="R185" s="239"/>
      <c r="S185" s="239">
        <v>251643</v>
      </c>
      <c r="T185" s="239"/>
      <c r="U185" s="240">
        <v>1258216.5</v>
      </c>
      <c r="V185" s="239"/>
      <c r="W185" s="239">
        <v>415211.44500000001</v>
      </c>
      <c r="X185" s="239"/>
      <c r="Y185" s="240">
        <f>E185-SUM(G185:W185)</f>
        <v>3163129.0550000002</v>
      </c>
      <c r="AB185" s="6">
        <f t="shared" si="21"/>
        <v>0</v>
      </c>
    </row>
    <row r="186" spans="2:28" ht="13.5" customHeight="1" x14ac:dyDescent="0.2">
      <c r="B186" s="36" t="s">
        <v>264</v>
      </c>
      <c r="C186" s="84" t="s">
        <v>132</v>
      </c>
      <c r="E186" s="239">
        <f>'Exh E-2 proposed pool'!D63</f>
        <v>2265375</v>
      </c>
      <c r="F186" s="239"/>
      <c r="G186" s="239"/>
      <c r="H186" s="239"/>
      <c r="I186" s="239"/>
      <c r="J186" s="239"/>
      <c r="K186" s="264">
        <f>'Exh E-2 proposed pool'!N63</f>
        <v>1758720</v>
      </c>
      <c r="L186" s="239"/>
      <c r="M186" s="239"/>
      <c r="N186" s="239"/>
      <c r="O186" s="239">
        <f>'Exh E-2 proposed pool'!F67</f>
        <v>450</v>
      </c>
      <c r="P186" s="239"/>
      <c r="Q186" s="239">
        <f>'Exh E-2 proposed pool'!H67</f>
        <v>133625</v>
      </c>
      <c r="R186" s="239"/>
      <c r="S186" s="239"/>
      <c r="T186" s="239"/>
      <c r="U186" s="240">
        <v>245000</v>
      </c>
      <c r="V186" s="239"/>
      <c r="W186" s="239">
        <v>85580</v>
      </c>
      <c r="X186" s="239"/>
      <c r="Y186" s="239">
        <f>'Exh E-2 proposed pool'!J63+'Exh E-2 proposed pool'!L63-U186-W186</f>
        <v>42000</v>
      </c>
      <c r="AB186" s="6">
        <f t="shared" si="21"/>
        <v>0</v>
      </c>
    </row>
    <row r="187" spans="2:28" ht="13.5" customHeight="1" x14ac:dyDescent="0.2">
      <c r="C187" s="6" t="s">
        <v>172</v>
      </c>
      <c r="E187" s="239">
        <v>100000</v>
      </c>
      <c r="F187" s="239"/>
      <c r="G187" s="239"/>
      <c r="H187" s="239"/>
      <c r="I187" s="239"/>
      <c r="J187" s="239"/>
      <c r="K187" s="239"/>
      <c r="L187" s="239"/>
      <c r="M187" s="239"/>
      <c r="N187" s="239"/>
      <c r="O187" s="239"/>
      <c r="P187" s="239"/>
      <c r="Q187" s="239"/>
      <c r="R187" s="239"/>
      <c r="S187" s="239"/>
      <c r="T187" s="239"/>
      <c r="U187" s="240">
        <v>25000</v>
      </c>
      <c r="V187" s="239"/>
      <c r="W187" s="239">
        <v>8250</v>
      </c>
      <c r="X187" s="239"/>
      <c r="Y187" s="240">
        <f>E187-SUM(G187:W187)</f>
        <v>66750</v>
      </c>
      <c r="AB187" s="6">
        <f t="shared" si="21"/>
        <v>0</v>
      </c>
    </row>
    <row r="188" spans="2:28" ht="13.5" customHeight="1" x14ac:dyDescent="0.2">
      <c r="C188" s="6" t="s">
        <v>186</v>
      </c>
      <c r="E188" s="239">
        <v>50000</v>
      </c>
      <c r="F188" s="239"/>
      <c r="G188" s="239"/>
      <c r="H188" s="239"/>
      <c r="I188" s="239"/>
      <c r="J188" s="239"/>
      <c r="K188" s="239"/>
      <c r="L188" s="239"/>
      <c r="M188" s="239"/>
      <c r="N188" s="239"/>
      <c r="O188" s="239"/>
      <c r="P188" s="239"/>
      <c r="Q188" s="239"/>
      <c r="R188" s="239"/>
      <c r="S188" s="239"/>
      <c r="T188" s="239"/>
      <c r="U188" s="240">
        <v>12500</v>
      </c>
      <c r="V188" s="239"/>
      <c r="W188" s="239">
        <v>4125</v>
      </c>
      <c r="X188" s="239"/>
      <c r="Y188" s="240">
        <f t="shared" ref="Y188" si="27">E188-SUM(G188:W188)</f>
        <v>33375</v>
      </c>
      <c r="AB188" s="6">
        <f t="shared" si="21"/>
        <v>0</v>
      </c>
    </row>
    <row r="189" spans="2:28" ht="13.5" customHeight="1" x14ac:dyDescent="0.2">
      <c r="C189" s="6" t="s">
        <v>173</v>
      </c>
      <c r="E189" s="239">
        <v>25000</v>
      </c>
      <c r="F189" s="239"/>
      <c r="G189" s="239"/>
      <c r="H189" s="239"/>
      <c r="I189" s="239"/>
      <c r="J189" s="239"/>
      <c r="K189" s="239"/>
      <c r="L189" s="239"/>
      <c r="M189" s="239"/>
      <c r="N189" s="239"/>
      <c r="O189" s="239"/>
      <c r="P189" s="239"/>
      <c r="Q189" s="239"/>
      <c r="R189" s="239"/>
      <c r="S189" s="239"/>
      <c r="T189" s="239"/>
      <c r="U189" s="240">
        <v>6250</v>
      </c>
      <c r="V189" s="239"/>
      <c r="W189" s="239">
        <v>2062.5</v>
      </c>
      <c r="X189" s="239"/>
      <c r="Y189" s="240">
        <f t="shared" ref="Y189" si="28">E189-SUM(G189:W189)</f>
        <v>16687.5</v>
      </c>
      <c r="AB189" s="6">
        <f t="shared" ref="AB189" si="29">E189-_xlfn.SINGLE(SUM(G189:Y189))</f>
        <v>0</v>
      </c>
    </row>
    <row r="190" spans="2:28" ht="13.5" customHeight="1" x14ac:dyDescent="0.2">
      <c r="C190" s="6" t="s">
        <v>246</v>
      </c>
      <c r="E190" s="239">
        <v>20000000</v>
      </c>
      <c r="F190" s="239"/>
      <c r="G190" s="239"/>
      <c r="H190" s="239"/>
      <c r="I190" s="239"/>
      <c r="J190" s="239"/>
      <c r="K190" s="239"/>
      <c r="L190" s="239"/>
      <c r="M190" s="239">
        <v>20000000</v>
      </c>
      <c r="N190" s="239"/>
      <c r="O190" s="239"/>
      <c r="P190" s="239"/>
      <c r="Q190" s="239"/>
      <c r="R190" s="239"/>
      <c r="S190" s="239"/>
      <c r="T190" s="239"/>
      <c r="U190" s="240"/>
      <c r="V190" s="239"/>
      <c r="W190" s="239"/>
      <c r="X190" s="239"/>
      <c r="Y190" s="240"/>
      <c r="AB190" s="6">
        <f t="shared" si="21"/>
        <v>0</v>
      </c>
    </row>
    <row r="191" spans="2:28" ht="13.5" customHeight="1" x14ac:dyDescent="0.2">
      <c r="E191" s="239"/>
      <c r="F191" s="239"/>
      <c r="G191" s="239"/>
      <c r="H191" s="239"/>
      <c r="I191" s="239"/>
      <c r="J191" s="239"/>
      <c r="K191" s="239"/>
      <c r="L191" s="239"/>
      <c r="M191" s="239"/>
      <c r="N191" s="239"/>
      <c r="O191" s="239"/>
      <c r="P191" s="239"/>
      <c r="Q191" s="239"/>
      <c r="R191" s="239"/>
      <c r="S191" s="239"/>
      <c r="T191" s="239"/>
      <c r="U191" s="239"/>
      <c r="V191" s="239"/>
      <c r="W191" s="239"/>
      <c r="X191" s="239"/>
      <c r="Y191" s="239"/>
      <c r="AB191" s="6">
        <f t="shared" si="21"/>
        <v>0</v>
      </c>
    </row>
    <row r="192" spans="2:28" ht="13.5" customHeight="1" x14ac:dyDescent="0.2">
      <c r="C192" s="6" t="s">
        <v>54</v>
      </c>
      <c r="E192" s="262">
        <f>SUM(E183:E191)</f>
        <v>27923275</v>
      </c>
      <c r="F192" s="239"/>
      <c r="G192" s="262">
        <f>SUM(G183:G191)</f>
        <v>60000</v>
      </c>
      <c r="H192" s="239"/>
      <c r="I192" s="262">
        <f>SUM(I183:I191)</f>
        <v>55000</v>
      </c>
      <c r="J192" s="239"/>
      <c r="K192" s="262">
        <f>SUM(K183:K191)</f>
        <v>1758720</v>
      </c>
      <c r="L192" s="239"/>
      <c r="M192" s="262">
        <f>SUM(M183:M191)</f>
        <v>20138900</v>
      </c>
      <c r="N192" s="239"/>
      <c r="O192" s="262">
        <f>SUM(O183:O191)</f>
        <v>41250</v>
      </c>
      <c r="P192" s="239"/>
      <c r="Q192" s="262">
        <f>SUM(Q183:Q191)</f>
        <v>133625</v>
      </c>
      <c r="R192" s="239"/>
      <c r="S192" s="262">
        <f>SUM(S183:S191)</f>
        <v>251643</v>
      </c>
      <c r="T192" s="239"/>
      <c r="U192" s="262">
        <f>SUM(U183:U191)</f>
        <v>1571966.5</v>
      </c>
      <c r="V192" s="239"/>
      <c r="W192" s="262">
        <f>SUM(W183:W191)</f>
        <v>523478.94500000001</v>
      </c>
      <c r="X192" s="239"/>
      <c r="Y192" s="262">
        <f>SUM(Y183:Y191)</f>
        <v>3388691.5550000002</v>
      </c>
      <c r="Z192" s="5"/>
      <c r="AB192" s="6">
        <f t="shared" si="21"/>
        <v>0</v>
      </c>
    </row>
    <row r="193" spans="1:28" ht="13.5" customHeight="1" x14ac:dyDescent="0.2">
      <c r="AB193" s="6">
        <f t="shared" si="21"/>
        <v>0</v>
      </c>
    </row>
    <row r="194" spans="1:28" ht="13.5" customHeight="1" thickBot="1" x14ac:dyDescent="0.25">
      <c r="B194" s="6" t="s">
        <v>355</v>
      </c>
      <c r="E194" s="9">
        <f>+E192+E174+E166+E181</f>
        <v>44167775</v>
      </c>
      <c r="F194" s="18"/>
      <c r="G194" s="9">
        <f>+G192+G174+G166+G181</f>
        <v>760087</v>
      </c>
      <c r="H194" s="18"/>
      <c r="I194" s="9">
        <f>+I192+I174+I166+I181</f>
        <v>2482280</v>
      </c>
      <c r="J194" s="18"/>
      <c r="K194" s="238">
        <f>+K192+K174+K166+K181</f>
        <v>1758720</v>
      </c>
      <c r="L194" s="18"/>
      <c r="M194" s="9">
        <f>+M192+M174+M166+M181</f>
        <v>20334900</v>
      </c>
      <c r="N194" s="18"/>
      <c r="O194" s="9">
        <f>+O192+O174+O166+O181</f>
        <v>41250</v>
      </c>
      <c r="P194" s="18"/>
      <c r="Q194" s="9">
        <f>+Q192+Q174+Q166+Q181</f>
        <v>158625</v>
      </c>
      <c r="R194" s="18"/>
      <c r="S194" s="9">
        <f>+S192+S174+S166+S181</f>
        <v>845486</v>
      </c>
      <c r="T194" s="92"/>
      <c r="U194" s="9">
        <f>+U192+U174+U166+U181</f>
        <v>4541178.5</v>
      </c>
      <c r="V194" s="92"/>
      <c r="W194" s="9">
        <f>+W192+W174+W166+W181</f>
        <v>1503321.4550000001</v>
      </c>
      <c r="X194" s="92"/>
      <c r="Y194" s="9">
        <f>+Y192+Y174+Y166+Y181</f>
        <v>11741927.045000002</v>
      </c>
      <c r="Z194" s="14"/>
      <c r="AB194" s="6">
        <f t="shared" si="21"/>
        <v>0</v>
      </c>
    </row>
    <row r="195" spans="1:28" ht="13.5" customHeight="1" thickTop="1" x14ac:dyDescent="0.25">
      <c r="E195" s="14"/>
      <c r="F195" s="18"/>
      <c r="G195" s="14"/>
      <c r="H195" s="18"/>
      <c r="I195" s="14"/>
      <c r="J195" s="18"/>
      <c r="K195" s="14"/>
      <c r="L195" s="18"/>
      <c r="M195" s="14"/>
      <c r="N195" s="18"/>
      <c r="O195" s="14"/>
      <c r="P195" s="18"/>
      <c r="Q195" s="14"/>
      <c r="R195" s="18"/>
      <c r="S195" s="14"/>
      <c r="T195" s="92"/>
      <c r="U195" s="14"/>
      <c r="V195" s="92"/>
      <c r="X195" s="92"/>
      <c r="Y195" s="263">
        <f>+E194-SUM(G194:Y194)</f>
        <v>0</v>
      </c>
      <c r="Z195" s="290" t="s">
        <v>153</v>
      </c>
    </row>
    <row r="196" spans="1:28" ht="13.5" customHeight="1" x14ac:dyDescent="0.25">
      <c r="D196" s="91"/>
      <c r="F196" s="5"/>
      <c r="H196" s="2"/>
      <c r="I196" s="51"/>
      <c r="J196" s="2"/>
      <c r="K196" s="51" t="s">
        <v>307</v>
      </c>
      <c r="L196" s="2"/>
      <c r="M196" s="51"/>
      <c r="N196" s="2"/>
      <c r="O196" s="51"/>
      <c r="P196" s="2"/>
      <c r="Q196" s="51"/>
      <c r="R196" s="2"/>
      <c r="S196" s="51"/>
      <c r="T196" s="2"/>
      <c r="U196" s="439" t="s">
        <v>330</v>
      </c>
      <c r="V196" s="439"/>
      <c r="W196" s="439"/>
      <c r="Y196" s="308" t="s">
        <v>388</v>
      </c>
      <c r="Z196" s="308"/>
    </row>
    <row r="197" spans="1:28" ht="13.5" customHeight="1" thickBot="1" x14ac:dyDescent="0.3">
      <c r="A197" s="6" t="s">
        <v>303</v>
      </c>
      <c r="D197" s="91"/>
      <c r="E197" s="9">
        <f>E201+E194</f>
        <v>44167775</v>
      </c>
      <c r="F197" s="5"/>
      <c r="H197" s="2"/>
      <c r="I197" s="51"/>
      <c r="J197" s="2"/>
      <c r="L197" s="2"/>
      <c r="M197" s="51"/>
      <c r="N197" s="2"/>
      <c r="O197" s="51"/>
      <c r="P197" s="2"/>
      <c r="Q197" s="51"/>
      <c r="R197" s="2"/>
      <c r="S197" s="51"/>
      <c r="T197" s="2"/>
      <c r="U197" s="307" t="s">
        <v>472</v>
      </c>
      <c r="V197" s="307"/>
      <c r="W197" s="307" t="s">
        <v>544</v>
      </c>
      <c r="X197" s="307"/>
      <c r="Y197" s="307" t="s">
        <v>213</v>
      </c>
      <c r="Z197" s="89"/>
    </row>
    <row r="198" spans="1:28" ht="13.5" customHeight="1" thickTop="1" x14ac:dyDescent="0.25">
      <c r="A198" s="15"/>
      <c r="B198" s="5"/>
      <c r="C198" s="5"/>
      <c r="D198" s="3"/>
      <c r="E198" s="5"/>
      <c r="F198" s="5"/>
      <c r="H198" s="2"/>
      <c r="I198" s="51"/>
      <c r="J198" s="2"/>
      <c r="K198" s="51"/>
      <c r="L198" s="2"/>
      <c r="M198" s="51"/>
      <c r="N198" s="2"/>
      <c r="O198" s="51"/>
      <c r="P198" s="2"/>
      <c r="Q198" s="51"/>
      <c r="R198" s="2"/>
      <c r="S198" s="51"/>
      <c r="T198" s="2"/>
      <c r="V198" s="2"/>
    </row>
    <row r="199" spans="1:28" ht="13.5" customHeight="1" x14ac:dyDescent="0.25">
      <c r="A199" s="5"/>
      <c r="B199" s="5"/>
      <c r="C199" s="5"/>
      <c r="D199" s="3"/>
      <c r="E199" s="416"/>
      <c r="F199" s="5"/>
      <c r="H199" s="2"/>
      <c r="I199" s="2"/>
      <c r="J199" s="2"/>
      <c r="K199" s="29"/>
      <c r="L199" s="2"/>
      <c r="M199" s="2"/>
      <c r="N199" s="2"/>
      <c r="O199" s="2"/>
      <c r="P199" s="2"/>
      <c r="Q199" s="2"/>
      <c r="R199" s="2"/>
      <c r="S199" s="2"/>
      <c r="T199" s="2"/>
      <c r="U199" s="237">
        <f>17910000*0.25</f>
        <v>4477500</v>
      </c>
      <c r="V199" s="2"/>
      <c r="W199" s="237">
        <f>4477500*0.33</f>
        <v>1477575</v>
      </c>
      <c r="Y199" s="42" t="s">
        <v>536</v>
      </c>
      <c r="Z199" s="239"/>
    </row>
    <row r="200" spans="1:28" ht="13.5" customHeight="1" x14ac:dyDescent="0.25">
      <c r="A200" s="5"/>
      <c r="B200" s="5"/>
      <c r="C200" s="5"/>
      <c r="D200" s="3"/>
      <c r="E200" s="5"/>
      <c r="F200" s="5"/>
      <c r="H200" s="2"/>
      <c r="I200" s="2"/>
      <c r="J200" s="2"/>
      <c r="K200" s="29"/>
      <c r="L200" s="2"/>
      <c r="M200" s="2"/>
      <c r="N200" s="2"/>
      <c r="O200" s="2"/>
      <c r="P200" s="2"/>
      <c r="Q200" s="2"/>
      <c r="R200" s="2"/>
      <c r="S200" s="2"/>
      <c r="T200" s="2"/>
      <c r="U200" s="239">
        <v>0</v>
      </c>
      <c r="V200" s="2"/>
      <c r="W200" s="239">
        <v>0</v>
      </c>
      <c r="Y200" s="42"/>
      <c r="Z200" s="239"/>
    </row>
    <row r="201" spans="1:28" ht="13.5" customHeight="1" x14ac:dyDescent="0.25">
      <c r="A201" s="5"/>
      <c r="B201" s="5"/>
      <c r="C201" s="16"/>
      <c r="D201" s="5"/>
      <c r="E201" s="5"/>
      <c r="H201" s="2"/>
      <c r="I201" s="2"/>
      <c r="J201" s="2"/>
      <c r="K201" s="29"/>
      <c r="L201" s="2"/>
      <c r="M201" s="2"/>
      <c r="N201" s="2"/>
      <c r="O201" s="2"/>
      <c r="P201" s="2"/>
      <c r="Q201" s="2"/>
      <c r="R201" s="2"/>
      <c r="S201" s="2"/>
      <c r="T201" s="2"/>
      <c r="U201" s="239">
        <v>0</v>
      </c>
      <c r="V201" s="2"/>
      <c r="W201" s="239">
        <v>0</v>
      </c>
      <c r="Z201" s="239"/>
      <c r="AA201" s="312"/>
    </row>
    <row r="202" spans="1:28" ht="13.5" customHeight="1" x14ac:dyDescent="0.25">
      <c r="D202" s="91"/>
      <c r="E202" s="5"/>
      <c r="H202" s="2"/>
      <c r="I202" s="2"/>
      <c r="J202" s="2"/>
      <c r="K202" s="29"/>
      <c r="L202" s="2"/>
      <c r="M202" s="2"/>
      <c r="N202" s="2"/>
      <c r="O202" s="2"/>
      <c r="P202" s="2"/>
      <c r="Q202" s="2"/>
      <c r="R202" s="2"/>
      <c r="S202" s="2"/>
      <c r="T202" s="2"/>
      <c r="U202" s="239">
        <v>0</v>
      </c>
      <c r="V202" s="2"/>
      <c r="W202" s="239">
        <v>0</v>
      </c>
      <c r="Z202" s="239"/>
    </row>
    <row r="203" spans="1:28" ht="13.5" customHeight="1" x14ac:dyDescent="0.25">
      <c r="H203" s="2"/>
      <c r="I203" s="2"/>
      <c r="J203" s="2"/>
      <c r="K203" s="29"/>
      <c r="L203" s="2"/>
      <c r="M203" s="2"/>
      <c r="N203" s="2"/>
      <c r="O203" s="2"/>
      <c r="P203" s="2"/>
      <c r="Q203" s="2"/>
      <c r="R203" s="2"/>
      <c r="S203" s="2"/>
      <c r="T203" s="2"/>
      <c r="U203" s="239"/>
      <c r="V203" s="2"/>
      <c r="W203" s="239"/>
      <c r="Z203" s="239"/>
    </row>
    <row r="204" spans="1:28" ht="13.5" customHeight="1" thickBot="1" x14ac:dyDescent="0.3">
      <c r="D204" s="91"/>
      <c r="F204" s="5"/>
      <c r="H204" s="2"/>
      <c r="I204" s="2"/>
      <c r="J204" s="2"/>
      <c r="K204" s="29"/>
      <c r="L204" s="2"/>
      <c r="M204" s="2"/>
      <c r="N204" s="2"/>
      <c r="O204" s="2"/>
      <c r="P204" s="2"/>
      <c r="Q204" s="2"/>
      <c r="R204" s="2"/>
      <c r="S204" s="448" t="s">
        <v>331</v>
      </c>
      <c r="T204" s="448"/>
      <c r="U204" s="238">
        <f>SUM(U199:U203)</f>
        <v>4477500</v>
      </c>
      <c r="W204" s="238">
        <f>SUM(W199:W203)</f>
        <v>1477575</v>
      </c>
      <c r="Z204" s="261"/>
      <c r="AA204" s="3"/>
    </row>
    <row r="205" spans="1:28" ht="13.5" customHeight="1" thickTop="1" x14ac:dyDescent="0.25">
      <c r="B205" s="34" t="s">
        <v>56</v>
      </c>
      <c r="C205" s="2"/>
      <c r="D205" s="2"/>
      <c r="E205" s="2"/>
      <c r="F205" s="2"/>
      <c r="G205" s="2"/>
      <c r="H205" s="2"/>
      <c r="I205" s="2"/>
      <c r="J205" s="2"/>
      <c r="K205" s="51"/>
      <c r="L205" s="2"/>
      <c r="M205" s="2"/>
      <c r="N205" s="2"/>
      <c r="O205" s="2"/>
      <c r="P205" s="2"/>
      <c r="Q205" s="2"/>
      <c r="R205" s="2"/>
      <c r="S205" s="2"/>
      <c r="T205" s="2"/>
      <c r="V205" s="2"/>
      <c r="X205" s="2"/>
    </row>
    <row r="206" spans="1:28" ht="36.75" customHeight="1" x14ac:dyDescent="0.25">
      <c r="B206" s="34"/>
      <c r="C206" s="2"/>
      <c r="D206" s="446" t="s">
        <v>425</v>
      </c>
      <c r="E206" s="446"/>
      <c r="F206" s="446"/>
      <c r="G206" s="446"/>
      <c r="H206" s="446"/>
      <c r="I206" s="446"/>
      <c r="J206" s="446"/>
      <c r="K206" s="446"/>
      <c r="L206" s="446"/>
      <c r="M206" s="446"/>
      <c r="N206" s="446"/>
      <c r="O206" s="446"/>
      <c r="P206" s="446"/>
      <c r="Q206" s="446"/>
      <c r="R206" s="446"/>
      <c r="S206" s="446"/>
      <c r="T206" s="2"/>
      <c r="V206" s="2"/>
      <c r="X206" s="2"/>
    </row>
    <row r="207" spans="1:28" ht="13.5" customHeight="1" x14ac:dyDescent="0.25">
      <c r="B207" s="34"/>
      <c r="C207" s="2"/>
      <c r="D207" s="2"/>
      <c r="E207" s="2"/>
      <c r="F207" s="2"/>
      <c r="G207" s="2"/>
      <c r="H207" s="2"/>
      <c r="I207" s="2"/>
      <c r="J207" s="2"/>
      <c r="K207" s="51"/>
      <c r="L207" s="2"/>
      <c r="M207" s="2"/>
      <c r="N207" s="2"/>
      <c r="O207" s="2"/>
      <c r="P207" s="2"/>
      <c r="Q207" s="2"/>
      <c r="R207" s="2"/>
      <c r="S207" s="2"/>
      <c r="T207" s="2"/>
      <c r="V207" s="2"/>
      <c r="X207" s="2"/>
    </row>
    <row r="208" spans="1:28" ht="33" customHeight="1" x14ac:dyDescent="0.25">
      <c r="B208" s="2"/>
      <c r="C208" s="93"/>
      <c r="D208" s="446" t="s">
        <v>426</v>
      </c>
      <c r="E208" s="446"/>
      <c r="F208" s="446"/>
      <c r="G208" s="446"/>
      <c r="H208" s="446"/>
      <c r="I208" s="446"/>
      <c r="J208" s="446"/>
      <c r="K208" s="446"/>
      <c r="L208" s="446"/>
      <c r="M208" s="446"/>
      <c r="N208" s="446"/>
      <c r="O208" s="446"/>
      <c r="P208" s="446"/>
      <c r="Q208" s="446"/>
      <c r="R208" s="446"/>
      <c r="S208" s="446"/>
      <c r="T208" s="246"/>
      <c r="U208" s="246"/>
      <c r="V208" s="246"/>
      <c r="X208" s="246"/>
    </row>
    <row r="209" spans="2:24" ht="13.5" customHeight="1" x14ac:dyDescent="0.2">
      <c r="B209" s="34"/>
      <c r="C209" s="93"/>
      <c r="D209" s="246"/>
      <c r="E209" s="194"/>
      <c r="F209" s="194"/>
      <c r="G209" s="194"/>
      <c r="H209" s="194"/>
      <c r="I209" s="194"/>
      <c r="J209" s="195"/>
      <c r="K209" s="194"/>
      <c r="L209" s="194"/>
      <c r="M209" s="194"/>
      <c r="N209" s="194"/>
      <c r="O209" s="194"/>
      <c r="P209" s="194"/>
      <c r="Q209" s="194"/>
      <c r="R209" s="194"/>
      <c r="S209" s="194"/>
      <c r="T209" s="194"/>
      <c r="U209" s="194"/>
      <c r="V209" s="194"/>
      <c r="X209" s="194"/>
    </row>
    <row r="210" spans="2:24" ht="51.75" customHeight="1" x14ac:dyDescent="0.25">
      <c r="B210" s="2"/>
      <c r="C210" s="2"/>
      <c r="D210" s="446" t="s">
        <v>427</v>
      </c>
      <c r="E210" s="446"/>
      <c r="F210" s="446"/>
      <c r="G210" s="446"/>
      <c r="H210" s="446"/>
      <c r="I210" s="446"/>
      <c r="J210" s="446"/>
      <c r="K210" s="446"/>
      <c r="L210" s="446"/>
      <c r="M210" s="446"/>
      <c r="N210" s="446"/>
      <c r="O210" s="446"/>
      <c r="P210" s="446"/>
      <c r="Q210" s="446"/>
      <c r="R210" s="446"/>
      <c r="S210" s="446"/>
      <c r="T210" s="203"/>
      <c r="U210" s="203"/>
      <c r="V210" s="203"/>
      <c r="X210" s="203"/>
    </row>
    <row r="211" spans="2:24" ht="13.5" customHeight="1" x14ac:dyDescent="0.25">
      <c r="B211" s="2"/>
      <c r="C211" s="2"/>
      <c r="D211" s="196"/>
      <c r="E211" s="231"/>
      <c r="F211" s="231"/>
      <c r="G211" s="231"/>
      <c r="H211" s="231"/>
      <c r="I211" s="231"/>
      <c r="J211" s="231"/>
      <c r="K211" s="231"/>
      <c r="L211" s="231"/>
      <c r="M211" s="231"/>
      <c r="N211" s="231"/>
      <c r="O211" s="231"/>
      <c r="P211" s="231"/>
      <c r="Q211" s="231"/>
      <c r="R211" s="231"/>
      <c r="S211" s="231"/>
      <c r="T211" s="231"/>
      <c r="U211" s="231"/>
      <c r="V211" s="231"/>
      <c r="X211" s="231"/>
    </row>
    <row r="212" spans="2:24" ht="30" customHeight="1" x14ac:dyDescent="0.25">
      <c r="B212" s="2"/>
      <c r="C212" s="2"/>
      <c r="D212" s="441" t="s">
        <v>428</v>
      </c>
      <c r="E212" s="441"/>
      <c r="F212" s="441"/>
      <c r="G212" s="441"/>
      <c r="H212" s="441"/>
      <c r="I212" s="441"/>
      <c r="J212" s="441"/>
      <c r="K212" s="441"/>
      <c r="L212" s="441"/>
      <c r="M212" s="441"/>
      <c r="N212" s="441"/>
      <c r="O212" s="441"/>
      <c r="P212" s="441"/>
      <c r="Q212" s="441"/>
      <c r="R212" s="441"/>
      <c r="S212" s="441"/>
      <c r="T212" s="203"/>
      <c r="U212" s="203"/>
      <c r="V212" s="203"/>
      <c r="X212" s="203"/>
    </row>
    <row r="213" spans="2:24" ht="13.5" customHeight="1" x14ac:dyDescent="0.25">
      <c r="B213" s="2"/>
      <c r="C213" s="2"/>
      <c r="D213" s="196"/>
      <c r="E213" s="231"/>
      <c r="F213" s="231"/>
      <c r="G213" s="231"/>
      <c r="H213" s="231"/>
      <c r="I213" s="231"/>
      <c r="J213" s="231"/>
      <c r="K213" s="231"/>
      <c r="L213" s="231"/>
      <c r="M213" s="231"/>
      <c r="N213" s="231"/>
      <c r="O213" s="231"/>
      <c r="P213" s="231"/>
      <c r="Q213" s="231"/>
      <c r="R213" s="231"/>
      <c r="S213" s="231"/>
      <c r="T213" s="231"/>
      <c r="U213" s="231"/>
      <c r="V213" s="231"/>
      <c r="X213" s="231"/>
    </row>
    <row r="214" spans="2:24" ht="34.5" customHeight="1" x14ac:dyDescent="0.25">
      <c r="B214" s="2"/>
      <c r="C214" s="2"/>
      <c r="D214" s="446" t="s">
        <v>429</v>
      </c>
      <c r="E214" s="446"/>
      <c r="F214" s="446"/>
      <c r="G214" s="446"/>
      <c r="H214" s="446"/>
      <c r="I214" s="446"/>
      <c r="J214" s="446"/>
      <c r="K214" s="446"/>
      <c r="L214" s="446"/>
      <c r="M214" s="446"/>
      <c r="N214" s="446"/>
      <c r="O214" s="446"/>
      <c r="P214" s="446"/>
      <c r="Q214" s="446"/>
      <c r="R214" s="446"/>
      <c r="S214" s="446"/>
      <c r="T214" s="231"/>
      <c r="U214" s="231"/>
      <c r="V214" s="231"/>
      <c r="X214" s="231"/>
    </row>
    <row r="215" spans="2:24" ht="13.5" customHeight="1" x14ac:dyDescent="0.25">
      <c r="B215" s="2"/>
      <c r="C215" s="2"/>
      <c r="D215" s="196"/>
      <c r="E215" s="231"/>
      <c r="F215" s="231"/>
      <c r="G215" s="231"/>
      <c r="H215" s="231"/>
      <c r="I215" s="231"/>
      <c r="J215" s="231"/>
      <c r="K215" s="231"/>
      <c r="L215" s="231"/>
      <c r="M215" s="231"/>
      <c r="N215" s="231"/>
      <c r="O215" s="231"/>
      <c r="P215" s="231"/>
      <c r="Q215" s="231"/>
      <c r="R215" s="231"/>
      <c r="S215" s="231"/>
      <c r="T215" s="231"/>
      <c r="U215" s="231"/>
      <c r="V215" s="231"/>
      <c r="X215" s="231"/>
    </row>
    <row r="216" spans="2:24" ht="15" customHeight="1" x14ac:dyDescent="0.25">
      <c r="B216" s="2"/>
      <c r="C216" s="2"/>
      <c r="D216" s="446" t="s">
        <v>430</v>
      </c>
      <c r="E216" s="446"/>
      <c r="F216" s="446"/>
      <c r="G216" s="446"/>
      <c r="H216" s="446"/>
      <c r="I216" s="446"/>
      <c r="J216" s="446"/>
      <c r="K216" s="446"/>
      <c r="L216" s="446"/>
      <c r="M216" s="446"/>
      <c r="N216" s="446"/>
      <c r="O216" s="446"/>
      <c r="P216" s="446"/>
      <c r="Q216" s="446"/>
      <c r="R216" s="446"/>
      <c r="S216" s="446"/>
      <c r="T216" s="231"/>
      <c r="U216" s="231"/>
      <c r="V216" s="231"/>
      <c r="X216" s="231"/>
    </row>
    <row r="217" spans="2:24" ht="13.5" customHeight="1" x14ac:dyDescent="0.25">
      <c r="B217" s="2"/>
      <c r="C217" s="2"/>
      <c r="D217" s="95"/>
      <c r="E217" s="32"/>
      <c r="F217" s="32"/>
      <c r="G217" s="32"/>
      <c r="H217" s="32"/>
      <c r="I217" s="32"/>
      <c r="J217" s="32"/>
      <c r="K217" s="32"/>
      <c r="L217" s="32"/>
      <c r="M217" s="32"/>
      <c r="N217" s="32"/>
      <c r="O217" s="32"/>
      <c r="P217" s="32"/>
      <c r="Q217" s="32"/>
      <c r="R217" s="32"/>
      <c r="S217" s="32"/>
      <c r="T217" s="32"/>
      <c r="U217" s="32"/>
      <c r="V217" s="32"/>
      <c r="X217" s="32"/>
    </row>
    <row r="218" spans="2:24" ht="32.25" customHeight="1" x14ac:dyDescent="0.25">
      <c r="B218" s="2"/>
      <c r="C218" s="2"/>
      <c r="D218" s="446" t="s">
        <v>431</v>
      </c>
      <c r="E218" s="446"/>
      <c r="F218" s="446"/>
      <c r="G218" s="446"/>
      <c r="H218" s="446"/>
      <c r="I218" s="446"/>
      <c r="J218" s="446"/>
      <c r="K218" s="446"/>
      <c r="L218" s="446"/>
      <c r="M218" s="446"/>
      <c r="N218" s="446"/>
      <c r="O218" s="446"/>
      <c r="P218" s="446"/>
      <c r="Q218" s="446"/>
      <c r="R218" s="446"/>
      <c r="S218" s="446"/>
      <c r="T218" s="350"/>
      <c r="U218" s="350"/>
      <c r="V218" s="350"/>
      <c r="X218" s="350"/>
    </row>
    <row r="219" spans="2:24" ht="13.5" customHeight="1" x14ac:dyDescent="0.25">
      <c r="B219" s="2"/>
      <c r="C219" s="2"/>
      <c r="D219" s="351"/>
      <c r="E219" s="351"/>
      <c r="F219" s="351"/>
      <c r="G219" s="351"/>
      <c r="H219" s="351"/>
      <c r="I219" s="351"/>
      <c r="J219" s="30"/>
      <c r="K219" s="351"/>
      <c r="L219" s="351"/>
      <c r="M219" s="351"/>
      <c r="N219" s="351"/>
      <c r="O219" s="351"/>
      <c r="P219" s="351"/>
      <c r="Q219" s="351"/>
      <c r="R219" s="351"/>
      <c r="S219" s="351"/>
      <c r="T219" s="351"/>
      <c r="U219" s="351"/>
      <c r="V219" s="351"/>
      <c r="X219" s="351"/>
    </row>
    <row r="220" spans="2:24" ht="30.75" customHeight="1" x14ac:dyDescent="0.25">
      <c r="B220" s="2"/>
      <c r="C220" s="2"/>
      <c r="D220" s="440" t="s">
        <v>432</v>
      </c>
      <c r="E220" s="440"/>
      <c r="F220" s="440"/>
      <c r="G220" s="440"/>
      <c r="H220" s="440"/>
      <c r="I220" s="440"/>
      <c r="J220" s="440"/>
      <c r="K220" s="440"/>
      <c r="L220" s="440"/>
      <c r="M220" s="440"/>
      <c r="N220" s="440"/>
      <c r="O220" s="440"/>
      <c r="P220" s="440"/>
      <c r="Q220" s="440"/>
      <c r="R220" s="440"/>
      <c r="S220" s="440"/>
      <c r="T220" s="351"/>
      <c r="U220" s="351"/>
      <c r="V220" s="351"/>
      <c r="X220" s="351"/>
    </row>
    <row r="221" spans="2:24" ht="13.5" customHeight="1" x14ac:dyDescent="0.25">
      <c r="B221" s="2"/>
      <c r="C221" s="2"/>
      <c r="D221" s="351"/>
      <c r="E221" s="351"/>
      <c r="F221" s="351"/>
      <c r="G221" s="351"/>
      <c r="H221" s="351"/>
      <c r="I221" s="351"/>
      <c r="J221" s="30"/>
      <c r="K221" s="351"/>
      <c r="L221" s="351"/>
      <c r="M221" s="351"/>
      <c r="N221" s="351"/>
      <c r="O221" s="351"/>
      <c r="P221" s="351"/>
      <c r="Q221" s="351"/>
      <c r="R221" s="351"/>
      <c r="S221" s="351"/>
      <c r="T221" s="351"/>
      <c r="U221" s="351"/>
      <c r="V221" s="351"/>
      <c r="X221" s="351"/>
    </row>
    <row r="222" spans="2:24" ht="13.5" customHeight="1" x14ac:dyDescent="0.25">
      <c r="B222" s="2"/>
      <c r="C222" s="2"/>
      <c r="D222" s="95"/>
      <c r="E222" s="32"/>
      <c r="F222" s="32"/>
      <c r="G222" s="32"/>
      <c r="H222" s="32"/>
      <c r="I222" s="32"/>
      <c r="J222" s="32"/>
      <c r="K222" s="32"/>
      <c r="L222" s="32"/>
      <c r="M222" s="32"/>
      <c r="N222" s="32"/>
      <c r="O222" s="32"/>
      <c r="P222" s="32"/>
      <c r="Q222" s="32"/>
      <c r="R222" s="32"/>
      <c r="S222" s="32"/>
      <c r="T222" s="32"/>
      <c r="U222" s="32"/>
      <c r="V222" s="32"/>
      <c r="X222" s="32"/>
    </row>
    <row r="223" spans="2:24" ht="13.5" customHeight="1" x14ac:dyDescent="0.25">
      <c r="B223" s="2"/>
      <c r="C223" s="2"/>
      <c r="D223" s="95"/>
      <c r="E223" s="32"/>
      <c r="F223" s="32"/>
      <c r="G223" s="32"/>
      <c r="H223" s="32"/>
      <c r="I223" s="32"/>
      <c r="J223" s="32"/>
      <c r="K223" s="32"/>
      <c r="L223" s="32"/>
      <c r="M223" s="32"/>
      <c r="N223" s="32"/>
      <c r="O223" s="32"/>
      <c r="P223" s="32"/>
      <c r="Q223" s="32"/>
      <c r="R223" s="32"/>
      <c r="S223" s="32"/>
      <c r="T223" s="32"/>
      <c r="U223" s="32"/>
      <c r="V223" s="32"/>
      <c r="X223" s="32"/>
    </row>
    <row r="224" spans="2:24" ht="13.5" customHeight="1" x14ac:dyDescent="0.25">
      <c r="B224" s="2"/>
      <c r="C224" s="2"/>
      <c r="D224" s="95"/>
      <c r="E224" s="32"/>
      <c r="F224" s="32"/>
      <c r="G224" s="32"/>
      <c r="H224" s="32"/>
      <c r="I224" s="32"/>
      <c r="J224" s="32"/>
      <c r="K224" s="32"/>
      <c r="L224" s="32"/>
      <c r="M224" s="32"/>
      <c r="N224" s="32"/>
      <c r="O224" s="32"/>
      <c r="P224" s="32"/>
      <c r="Q224" s="32"/>
      <c r="R224" s="32"/>
      <c r="S224" s="32"/>
      <c r="T224" s="32"/>
      <c r="U224" s="32" t="s">
        <v>145</v>
      </c>
      <c r="V224" s="32"/>
      <c r="X224" s="32"/>
    </row>
    <row r="225" spans="4:24" ht="13.5" customHeight="1" x14ac:dyDescent="0.2">
      <c r="D225" s="95"/>
      <c r="E225" s="32"/>
      <c r="F225" s="32"/>
      <c r="G225" s="32"/>
      <c r="H225" s="32"/>
      <c r="I225" s="32"/>
      <c r="J225" s="32"/>
      <c r="K225" s="32"/>
      <c r="L225" s="32"/>
      <c r="M225" s="32"/>
      <c r="N225" s="32"/>
      <c r="O225" s="32"/>
      <c r="P225" s="32"/>
      <c r="Q225" s="32"/>
      <c r="R225" s="32"/>
      <c r="S225" s="32"/>
      <c r="T225" s="32"/>
      <c r="U225" s="32"/>
      <c r="V225" s="32"/>
      <c r="X225" s="32"/>
    </row>
    <row r="226" spans="4:24" ht="13.5" customHeight="1" x14ac:dyDescent="0.25">
      <c r="D226" s="2"/>
      <c r="E226" s="2"/>
      <c r="F226" s="2"/>
      <c r="G226" s="2"/>
      <c r="H226" s="2"/>
      <c r="I226" s="2"/>
      <c r="J226" s="2"/>
      <c r="K226" s="2"/>
      <c r="L226" s="2"/>
      <c r="M226" s="2"/>
      <c r="N226" s="2"/>
      <c r="O226" s="2"/>
      <c r="P226" s="2"/>
      <c r="Q226" s="2"/>
      <c r="R226" s="2"/>
      <c r="S226" s="2"/>
      <c r="T226" s="2"/>
      <c r="U226" s="2"/>
      <c r="V226" s="2"/>
      <c r="X226" s="2"/>
    </row>
    <row r="227" spans="4:24" ht="15" x14ac:dyDescent="0.25">
      <c r="D227" s="2"/>
      <c r="E227" s="2"/>
      <c r="F227" s="2"/>
      <c r="G227" s="2"/>
      <c r="H227" s="2"/>
      <c r="I227" s="2"/>
      <c r="J227" s="29"/>
      <c r="K227" s="2"/>
      <c r="L227" s="29"/>
      <c r="M227" s="2"/>
      <c r="N227" s="29"/>
      <c r="O227" s="2"/>
      <c r="P227" s="29"/>
      <c r="Q227" s="2"/>
      <c r="R227" s="29"/>
      <c r="S227" s="2"/>
      <c r="T227" s="29"/>
      <c r="U227" s="29"/>
      <c r="V227" s="29"/>
      <c r="X227" s="29"/>
    </row>
    <row r="228" spans="4:24" ht="13.5" customHeight="1" x14ac:dyDescent="0.2">
      <c r="J228" s="5"/>
      <c r="L228" s="5"/>
      <c r="N228" s="5"/>
      <c r="P228" s="5"/>
      <c r="R228" s="5"/>
      <c r="T228" s="5"/>
      <c r="U228" s="5"/>
      <c r="V228" s="5"/>
      <c r="X228" s="5"/>
    </row>
  </sheetData>
  <sheetProtection formatCells="0" insertRows="0" deleteRows="0"/>
  <protectedRanges>
    <protectedRange sqref="E21:Z21" name="Range1"/>
    <protectedRange sqref="E30:Z30" name="Range2"/>
    <protectedRange sqref="E40:Z40" name="Range3"/>
    <protectedRange sqref="E49:Z49" name="Range4"/>
    <protectedRange sqref="E66:Z66" name="Range5"/>
    <protectedRange sqref="E74:Z74" name="Range6"/>
    <protectedRange sqref="E82:Z82" name="Range7"/>
    <protectedRange sqref="E90:Z90" name="Range8"/>
    <protectedRange sqref="E99:Z99" name="Range9"/>
    <protectedRange sqref="E107:Z107" name="Range10"/>
    <protectedRange sqref="E123:Z123" name="Range11"/>
    <protectedRange sqref="E131:Z131" name="Range12"/>
    <protectedRange sqref="E139:Z139" name="Range13"/>
    <protectedRange sqref="E147:Z147" name="Range14"/>
    <protectedRange sqref="T166 R166 P166 N166 L166 J166 H166 F166 W115 V166 E156:V156 E115:V116 Y115:Z115 X166 X156 X115:X116" name="Range15"/>
    <protectedRange sqref="E155:Z155 E163:Z165" name="Range16"/>
    <protectedRange sqref="F166 H166 J166 L166 N166 P166 R166 T166 V166 X166" name="Range17"/>
    <protectedRange sqref="E181:Z182 E174:Z174" name="Range18"/>
    <protectedRange sqref="E192:E193 F192:F195 H192:H195 J192:J195 L192:L195 N192:N195 P192:P195 R192:R195 T192:T195 G192:G193 I192:I193 K192:K193 M192:M193 O192:O193 Q192:Q193 S192:S193 U192:U193 W192:W193 V192:V195 Y192:Z193 X192:X195" name="Range21"/>
    <protectedRange sqref="E166 G166 I166 K166 M166 O166 U166 Q166 S166 W166 Y166:Z166" name="Range16_1"/>
    <protectedRange sqref="E194:E195 G194:G195 I194:I195 K194:K195 M194:M195 O194:O195 Q194:Q195 S194:S195 U194:U195 W194 Y194:Z194" name="Range20_1"/>
    <protectedRange sqref="Y199" name="Range19"/>
  </protectedRanges>
  <customSheetViews>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3"/>
      <headerFooter alignWithMargins="0">
        <oddFooter>&amp;LSchedule D&amp;C&amp;A&amp;RUpdated: &amp;D</oddFooter>
      </headerFooter>
    </customSheetView>
  </customSheetViews>
  <mergeCells count="14">
    <mergeCell ref="D220:S220"/>
    <mergeCell ref="D218:S218"/>
    <mergeCell ref="D216:S216"/>
    <mergeCell ref="B10:D10"/>
    <mergeCell ref="D210:S210"/>
    <mergeCell ref="D212:S212"/>
    <mergeCell ref="D206:S206"/>
    <mergeCell ref="S204:T204"/>
    <mergeCell ref="U3:Y3"/>
    <mergeCell ref="B2:C2"/>
    <mergeCell ref="D208:S208"/>
    <mergeCell ref="D214:S214"/>
    <mergeCell ref="U6:Y6"/>
    <mergeCell ref="U196:W196"/>
  </mergeCells>
  <phoneticPr fontId="7" type="noConversion"/>
  <printOptions headings="1"/>
  <pageMargins left="0.25" right="0.5" top="0.75" bottom="0.75" header="0.5" footer="0.5"/>
  <pageSetup paperSize="5" scale="72" fitToHeight="7" orientation="landscape" r:id="rId4"/>
  <headerFooter alignWithMargins="0">
    <oddFooter>&amp;L&amp;F&amp;C&amp;A&amp;RUpdated: &amp;D</oddFooter>
  </headerFooter>
  <ignoredErrors>
    <ignoredError sqref="Y18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6"/>
  <sheetViews>
    <sheetView zoomScaleNormal="100" workbookViewId="0">
      <pane ySplit="7" topLeftCell="A8" activePane="bottomLeft" state="frozen"/>
      <selection activeCell="A40" sqref="A40:Q40"/>
      <selection pane="bottomLeft" activeCell="A2" sqref="A2:B2"/>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49" customWidth="1"/>
    <col min="7" max="7" width="1.7109375" style="49" customWidth="1"/>
    <col min="8" max="8" width="12.7109375" style="49" customWidth="1"/>
    <col min="9" max="9" width="1.85546875" style="49" customWidth="1"/>
    <col min="10" max="10" width="12.7109375" style="49" customWidth="1"/>
    <col min="11" max="11" width="1.7109375" style="49" customWidth="1"/>
    <col min="12" max="12" width="12.7109375" style="49" customWidth="1"/>
    <col min="13" max="13" width="1.7109375" style="49" customWidth="1"/>
    <col min="14" max="14" width="12.7109375" style="2" customWidth="1"/>
    <col min="15" max="15" width="1" style="2" customWidth="1"/>
    <col min="16" max="16" width="14.28515625" style="107" customWidth="1"/>
    <col min="17" max="17" width="25.85546875" style="51" customWidth="1"/>
    <col min="18" max="16384" width="9.140625" style="2"/>
  </cols>
  <sheetData>
    <row r="1" spans="1:18" s="21" customFormat="1" ht="18.75" x14ac:dyDescent="0.3">
      <c r="A1" s="421" t="str">
        <f>'start here-do not delete'!D29</f>
        <v>Sample Tribe</v>
      </c>
      <c r="B1" s="421"/>
      <c r="C1" s="421"/>
      <c r="D1" s="33"/>
      <c r="E1" s="33"/>
      <c r="F1" s="61"/>
      <c r="G1" s="61"/>
      <c r="H1" s="61"/>
      <c r="I1" s="61"/>
      <c r="J1" s="61"/>
      <c r="K1" s="61"/>
      <c r="L1" s="61"/>
      <c r="M1" s="61"/>
      <c r="N1" s="33"/>
      <c r="O1" s="33"/>
      <c r="P1" s="97" t="s">
        <v>120</v>
      </c>
      <c r="Q1" s="98"/>
    </row>
    <row r="2" spans="1:18" s="21" customFormat="1" ht="18.75" x14ac:dyDescent="0.3">
      <c r="A2" s="445" t="str">
        <f>'start here-do not delete'!D31</f>
        <v>FY 2022</v>
      </c>
      <c r="B2" s="445"/>
      <c r="C2" s="78" t="s">
        <v>132</v>
      </c>
      <c r="D2" s="33"/>
      <c r="E2" s="33"/>
      <c r="F2" s="61"/>
      <c r="G2" s="61"/>
      <c r="H2" s="61"/>
      <c r="I2" s="61"/>
      <c r="J2" s="61"/>
      <c r="K2" s="61"/>
      <c r="L2" s="61"/>
      <c r="M2" s="61"/>
      <c r="N2" s="33"/>
      <c r="O2" s="33"/>
      <c r="P2" s="99"/>
      <c r="Q2" s="98"/>
    </row>
    <row r="3" spans="1:18" s="102" customFormat="1" ht="15.75" x14ac:dyDescent="0.25">
      <c r="D3" s="22" t="str">
        <f>'start here-do not delete'!D31</f>
        <v>FY 2022</v>
      </c>
      <c r="E3" s="22"/>
      <c r="F3" s="23"/>
      <c r="G3" s="23"/>
      <c r="H3" s="22" t="s">
        <v>30</v>
      </c>
      <c r="I3" s="22"/>
      <c r="J3" s="104" t="s">
        <v>166</v>
      </c>
      <c r="K3" s="22"/>
      <c r="L3" s="22" t="s">
        <v>127</v>
      </c>
      <c r="M3" s="22"/>
      <c r="N3" s="22" t="s">
        <v>1</v>
      </c>
      <c r="O3" s="22"/>
      <c r="P3" s="103"/>
      <c r="Q3" s="22"/>
    </row>
    <row r="4" spans="1:18" s="102" customFormat="1" ht="15.75" x14ac:dyDescent="0.25">
      <c r="D4" s="22" t="s">
        <v>0</v>
      </c>
      <c r="E4" s="22"/>
      <c r="F4" s="22"/>
      <c r="G4" s="22"/>
      <c r="H4" s="22" t="s">
        <v>36</v>
      </c>
      <c r="I4" s="22"/>
      <c r="J4" s="104" t="s">
        <v>167</v>
      </c>
      <c r="K4" s="22"/>
      <c r="L4" s="22" t="s">
        <v>97</v>
      </c>
      <c r="M4" s="22"/>
      <c r="N4" s="22" t="str">
        <f>A2</f>
        <v>FY 2022</v>
      </c>
      <c r="O4" s="22"/>
      <c r="P4" s="103" t="s">
        <v>88</v>
      </c>
      <c r="Q4" s="22"/>
    </row>
    <row r="5" spans="1:18" s="102" customFormat="1" ht="15.75" x14ac:dyDescent="0.25">
      <c r="D5" s="24" t="s">
        <v>280</v>
      </c>
      <c r="E5" s="24"/>
      <c r="F5" s="22" t="s">
        <v>35</v>
      </c>
      <c r="G5" s="22"/>
      <c r="H5" s="24" t="s">
        <v>0</v>
      </c>
      <c r="I5" s="24"/>
      <c r="J5" s="149" t="s">
        <v>168</v>
      </c>
      <c r="K5" s="24"/>
      <c r="L5" s="24" t="s">
        <v>154</v>
      </c>
      <c r="M5" s="22"/>
      <c r="N5" s="22" t="s">
        <v>0</v>
      </c>
      <c r="O5" s="22"/>
      <c r="P5" s="103" t="s">
        <v>89</v>
      </c>
      <c r="Q5" s="22"/>
    </row>
    <row r="6" spans="1:18" s="102" customFormat="1" ht="16.5" thickBot="1" x14ac:dyDescent="0.3">
      <c r="A6" s="105" t="s">
        <v>58</v>
      </c>
      <c r="B6" s="105"/>
      <c r="C6" s="105"/>
      <c r="D6" s="25" t="s">
        <v>281</v>
      </c>
      <c r="E6" s="25"/>
      <c r="F6" s="25"/>
      <c r="G6" s="25"/>
      <c r="H6" s="150" t="s">
        <v>433</v>
      </c>
      <c r="I6" s="150"/>
      <c r="J6" s="25" t="s">
        <v>197</v>
      </c>
      <c r="K6" s="25"/>
      <c r="L6" s="25" t="s">
        <v>197</v>
      </c>
      <c r="M6" s="25"/>
      <c r="N6" s="25" t="s">
        <v>6</v>
      </c>
      <c r="O6" s="25"/>
      <c r="P6" s="106" t="s">
        <v>112</v>
      </c>
      <c r="Q6" s="25" t="s">
        <v>59</v>
      </c>
      <c r="R6" s="102" t="s">
        <v>324</v>
      </c>
    </row>
    <row r="7" spans="1:18" x14ac:dyDescent="0.25">
      <c r="F7" s="35" t="s">
        <v>24</v>
      </c>
      <c r="G7" s="39"/>
      <c r="H7" s="35" t="s">
        <v>25</v>
      </c>
      <c r="I7" s="35"/>
      <c r="J7" s="35" t="s">
        <v>55</v>
      </c>
      <c r="K7" s="39"/>
      <c r="L7" s="35" t="s">
        <v>86</v>
      </c>
    </row>
    <row r="8" spans="1:18" x14ac:dyDescent="0.25">
      <c r="A8" s="2" t="s">
        <v>434</v>
      </c>
    </row>
    <row r="9" spans="1:18" x14ac:dyDescent="0.25">
      <c r="A9" s="34" t="s">
        <v>205</v>
      </c>
    </row>
    <row r="10" spans="1:18" x14ac:dyDescent="0.25">
      <c r="A10" s="34"/>
      <c r="B10" s="257" t="s">
        <v>60</v>
      </c>
      <c r="D10" s="401">
        <v>79252</v>
      </c>
      <c r="E10" s="317"/>
      <c r="F10" s="316"/>
      <c r="G10" s="316"/>
      <c r="H10" s="316"/>
      <c r="I10" s="316"/>
      <c r="J10" s="316"/>
      <c r="K10" s="316"/>
      <c r="L10" s="316"/>
      <c r="M10" s="318"/>
      <c r="N10" s="112">
        <f t="shared" ref="N10:N30" si="0">D10-SUM(F10:L10)</f>
        <v>79252</v>
      </c>
      <c r="P10" s="62">
        <f t="shared" ref="P10:P25" si="1">ROUND(N10/D10,2)</f>
        <v>1</v>
      </c>
      <c r="R10" s="2">
        <f>D10-_xlfn.SINGLE(SUM(F10:N10))</f>
        <v>0</v>
      </c>
    </row>
    <row r="11" spans="1:18" x14ac:dyDescent="0.25">
      <c r="A11" s="34"/>
      <c r="B11" s="257" t="s">
        <v>61</v>
      </c>
      <c r="D11" s="402">
        <v>46450</v>
      </c>
      <c r="E11" s="26"/>
      <c r="F11" s="27"/>
      <c r="G11" s="27"/>
      <c r="H11" s="27"/>
      <c r="I11" s="27"/>
      <c r="J11" s="27"/>
      <c r="K11" s="27"/>
      <c r="L11" s="27"/>
      <c r="N11" s="2">
        <f t="shared" si="0"/>
        <v>46450</v>
      </c>
      <c r="P11" s="62">
        <f t="shared" si="1"/>
        <v>1</v>
      </c>
      <c r="R11" s="2">
        <f t="shared" ref="R11:R67" si="2">D11-_xlfn.SINGLE(SUM(F11:N11))</f>
        <v>0</v>
      </c>
    </row>
    <row r="12" spans="1:18" x14ac:dyDescent="0.25">
      <c r="A12" s="34"/>
      <c r="B12" s="257" t="s">
        <v>62</v>
      </c>
      <c r="D12" s="402">
        <v>40350</v>
      </c>
      <c r="E12" s="26"/>
      <c r="F12" s="27"/>
      <c r="G12" s="27"/>
      <c r="H12" s="27"/>
      <c r="I12" s="27"/>
      <c r="J12" s="27"/>
      <c r="K12" s="27"/>
      <c r="L12" s="27"/>
      <c r="N12" s="2">
        <f t="shared" si="0"/>
        <v>40350</v>
      </c>
      <c r="P12" s="62">
        <f t="shared" si="1"/>
        <v>1</v>
      </c>
      <c r="R12" s="2">
        <f t="shared" si="2"/>
        <v>0</v>
      </c>
    </row>
    <row r="13" spans="1:18" x14ac:dyDescent="0.25">
      <c r="A13" s="34"/>
      <c r="B13" s="257" t="s">
        <v>63</v>
      </c>
      <c r="D13" s="402">
        <v>214229</v>
      </c>
      <c r="E13" s="26"/>
      <c r="F13" s="27"/>
      <c r="G13" s="27"/>
      <c r="H13" s="27">
        <v>25000</v>
      </c>
      <c r="I13" s="27"/>
      <c r="J13" s="27"/>
      <c r="K13" s="27"/>
      <c r="L13" s="27"/>
      <c r="N13" s="2">
        <f t="shared" ref="N13" si="3">D13-SUM(F13:L13)</f>
        <v>189229</v>
      </c>
      <c r="P13" s="62">
        <f t="shared" ref="P13" si="4">ROUND(N13/D13,2)</f>
        <v>0.88</v>
      </c>
      <c r="R13" s="2">
        <f t="shared" ref="R13" si="5">D13-_xlfn.SINGLE(SUM(F13:N13))</f>
        <v>0</v>
      </c>
    </row>
    <row r="14" spans="1:18" x14ac:dyDescent="0.25">
      <c r="A14" s="34"/>
      <c r="B14" s="257" t="s">
        <v>520</v>
      </c>
      <c r="D14" s="402">
        <v>60323</v>
      </c>
      <c r="E14" s="26"/>
      <c r="F14" s="27"/>
      <c r="G14" s="27"/>
      <c r="H14" s="27"/>
      <c r="I14" s="27"/>
      <c r="J14" s="27"/>
      <c r="K14" s="27"/>
      <c r="L14" s="27"/>
      <c r="N14" s="2">
        <f t="shared" si="0"/>
        <v>60323</v>
      </c>
      <c r="P14" s="62">
        <f t="shared" si="1"/>
        <v>1</v>
      </c>
      <c r="R14" s="2">
        <f t="shared" si="2"/>
        <v>0</v>
      </c>
    </row>
    <row r="15" spans="1:18" x14ac:dyDescent="0.25">
      <c r="A15" s="34"/>
      <c r="D15" s="27"/>
      <c r="E15" s="26"/>
      <c r="F15" s="27"/>
      <c r="G15" s="27"/>
      <c r="H15" s="27"/>
      <c r="I15" s="27"/>
      <c r="J15" s="27"/>
      <c r="K15" s="27"/>
      <c r="L15" s="27"/>
      <c r="P15" s="62"/>
      <c r="R15" s="2">
        <f t="shared" si="2"/>
        <v>0</v>
      </c>
    </row>
    <row r="16" spans="1:18" x14ac:dyDescent="0.25">
      <c r="A16" s="34"/>
      <c r="C16" s="2" t="s">
        <v>209</v>
      </c>
      <c r="D16" s="27"/>
      <c r="E16" s="26"/>
      <c r="F16" s="27"/>
      <c r="G16" s="27"/>
      <c r="H16" s="27"/>
      <c r="I16" s="27"/>
      <c r="J16" s="27"/>
      <c r="K16" s="27"/>
      <c r="L16" s="27"/>
      <c r="N16" s="113">
        <f>SUM(N10:N15)</f>
        <v>415604</v>
      </c>
      <c r="P16" s="62"/>
      <c r="Q16" s="2"/>
    </row>
    <row r="17" spans="1:18" x14ac:dyDescent="0.25">
      <c r="A17" s="34" t="s">
        <v>206</v>
      </c>
      <c r="D17" s="27"/>
      <c r="E17" s="26"/>
      <c r="F17" s="27"/>
      <c r="G17" s="27"/>
      <c r="H17" s="27"/>
      <c r="I17" s="27"/>
      <c r="J17" s="27"/>
      <c r="K17" s="27"/>
      <c r="L17" s="27"/>
      <c r="P17" s="62"/>
      <c r="R17" s="2">
        <f t="shared" si="2"/>
        <v>0</v>
      </c>
    </row>
    <row r="18" spans="1:18" x14ac:dyDescent="0.25">
      <c r="A18" s="34"/>
      <c r="B18" s="2" t="s">
        <v>95</v>
      </c>
      <c r="D18" s="27">
        <v>83736</v>
      </c>
      <c r="E18" s="26"/>
      <c r="F18" s="27"/>
      <c r="G18" s="27"/>
      <c r="H18" s="27"/>
      <c r="I18" s="27"/>
      <c r="J18" s="27"/>
      <c r="K18" s="27"/>
      <c r="L18" s="27">
        <v>15569</v>
      </c>
      <c r="N18" s="2">
        <f t="shared" si="0"/>
        <v>68167</v>
      </c>
      <c r="P18" s="62">
        <f t="shared" si="1"/>
        <v>0.81</v>
      </c>
      <c r="R18" s="2">
        <f t="shared" si="2"/>
        <v>0</v>
      </c>
    </row>
    <row r="19" spans="1:18" x14ac:dyDescent="0.25">
      <c r="A19" s="34"/>
      <c r="B19" s="2" t="s">
        <v>244</v>
      </c>
      <c r="D19" s="27"/>
      <c r="E19" s="26"/>
      <c r="F19" s="27"/>
      <c r="G19" s="27"/>
      <c r="H19" s="27"/>
      <c r="I19" s="27"/>
      <c r="J19" s="27"/>
      <c r="K19" s="27"/>
      <c r="L19" s="27"/>
      <c r="N19" s="2">
        <f t="shared" si="0"/>
        <v>0</v>
      </c>
      <c r="P19" s="62" t="e">
        <f t="shared" si="1"/>
        <v>#DIV/0!</v>
      </c>
      <c r="Q19" s="85"/>
      <c r="R19" s="2">
        <f t="shared" si="2"/>
        <v>0</v>
      </c>
    </row>
    <row r="20" spans="1:18" x14ac:dyDescent="0.25">
      <c r="A20" s="34"/>
      <c r="D20" s="27"/>
      <c r="E20" s="26"/>
      <c r="F20" s="27"/>
      <c r="G20" s="27"/>
      <c r="H20" s="27"/>
      <c r="I20" s="27"/>
      <c r="J20" s="27"/>
      <c r="K20" s="27"/>
      <c r="L20" s="27"/>
      <c r="P20" s="62"/>
      <c r="Q20" s="85"/>
      <c r="R20" s="2">
        <f t="shared" si="2"/>
        <v>0</v>
      </c>
    </row>
    <row r="21" spans="1:18" x14ac:dyDescent="0.25">
      <c r="A21" s="34"/>
      <c r="C21" s="2" t="s">
        <v>209</v>
      </c>
      <c r="D21" s="27"/>
      <c r="E21" s="26"/>
      <c r="F21" s="27"/>
      <c r="G21" s="27"/>
      <c r="H21" s="27"/>
      <c r="I21" s="27"/>
      <c r="J21" s="27"/>
      <c r="K21" s="27"/>
      <c r="L21" s="27"/>
      <c r="N21" s="113">
        <f>SUM(N18:N20)</f>
        <v>68167</v>
      </c>
      <c r="P21" s="62"/>
      <c r="Q21" s="85"/>
    </row>
    <row r="22" spans="1:18" x14ac:dyDescent="0.25">
      <c r="A22" s="34" t="s">
        <v>207</v>
      </c>
      <c r="D22" s="27"/>
      <c r="E22" s="26"/>
      <c r="F22" s="27"/>
      <c r="G22" s="27"/>
      <c r="H22" s="27"/>
      <c r="I22" s="27"/>
      <c r="J22" s="27"/>
      <c r="K22" s="27"/>
      <c r="L22" s="27"/>
      <c r="P22" s="62"/>
      <c r="Q22" s="85"/>
      <c r="R22" s="2">
        <f t="shared" si="2"/>
        <v>0</v>
      </c>
    </row>
    <row r="23" spans="1:18" x14ac:dyDescent="0.25">
      <c r="A23" s="34"/>
      <c r="B23" s="2" t="s">
        <v>64</v>
      </c>
      <c r="D23" s="402">
        <v>58786</v>
      </c>
      <c r="E23" s="26"/>
      <c r="F23" s="27"/>
      <c r="G23" s="27"/>
      <c r="H23" s="27"/>
      <c r="I23" s="27"/>
      <c r="J23" s="27"/>
      <c r="K23" s="27"/>
      <c r="L23" s="27"/>
      <c r="N23" s="2">
        <f t="shared" si="0"/>
        <v>58786</v>
      </c>
      <c r="P23" s="62">
        <f t="shared" si="1"/>
        <v>1</v>
      </c>
      <c r="Q23" s="85"/>
      <c r="R23" s="2">
        <f t="shared" si="2"/>
        <v>0</v>
      </c>
    </row>
    <row r="24" spans="1:18" x14ac:dyDescent="0.25">
      <c r="A24" s="34"/>
      <c r="B24" s="2" t="s">
        <v>119</v>
      </c>
      <c r="D24" s="402">
        <v>81377</v>
      </c>
      <c r="E24" s="26"/>
      <c r="F24" s="27"/>
      <c r="G24" s="27"/>
      <c r="H24" s="27"/>
      <c r="I24" s="27"/>
      <c r="J24" s="27"/>
      <c r="K24" s="27"/>
      <c r="L24" s="27"/>
      <c r="N24" s="2">
        <f t="shared" si="0"/>
        <v>81377</v>
      </c>
      <c r="P24" s="62">
        <f t="shared" si="1"/>
        <v>1</v>
      </c>
      <c r="Q24" s="85"/>
      <c r="R24" s="2">
        <f t="shared" si="2"/>
        <v>0</v>
      </c>
    </row>
    <row r="25" spans="1:18" x14ac:dyDescent="0.25">
      <c r="A25" s="34"/>
      <c r="B25" s="2" t="s">
        <v>65</v>
      </c>
      <c r="D25" s="402">
        <v>30077</v>
      </c>
      <c r="E25" s="26"/>
      <c r="F25" s="27"/>
      <c r="G25" s="27"/>
      <c r="H25" s="27"/>
      <c r="I25" s="27"/>
      <c r="J25" s="27"/>
      <c r="K25" s="27"/>
      <c r="L25" s="27"/>
      <c r="N25" s="2">
        <f t="shared" si="0"/>
        <v>30077</v>
      </c>
      <c r="P25" s="62">
        <f t="shared" si="1"/>
        <v>1</v>
      </c>
      <c r="Q25" s="85"/>
      <c r="R25" s="2">
        <f t="shared" si="2"/>
        <v>0</v>
      </c>
    </row>
    <row r="26" spans="1:18" x14ac:dyDescent="0.25">
      <c r="A26" s="34"/>
      <c r="D26" s="27"/>
      <c r="E26" s="26"/>
      <c r="F26" s="27"/>
      <c r="G26" s="27"/>
      <c r="H26" s="27"/>
      <c r="I26" s="27"/>
      <c r="J26" s="27"/>
      <c r="K26" s="27"/>
      <c r="L26" s="27"/>
      <c r="P26" s="62"/>
      <c r="Q26" s="85"/>
      <c r="R26" s="2">
        <f t="shared" si="2"/>
        <v>0</v>
      </c>
    </row>
    <row r="27" spans="1:18" x14ac:dyDescent="0.25">
      <c r="A27" s="34"/>
      <c r="C27" s="2" t="s">
        <v>209</v>
      </c>
      <c r="D27" s="27"/>
      <c r="E27" s="26"/>
      <c r="F27" s="27"/>
      <c r="G27" s="27"/>
      <c r="H27" s="27"/>
      <c r="I27" s="27"/>
      <c r="J27" s="27"/>
      <c r="K27" s="27"/>
      <c r="L27" s="27"/>
      <c r="N27" s="113">
        <f>SUM(N23:N26)</f>
        <v>170240</v>
      </c>
      <c r="P27" s="62"/>
      <c r="Q27" s="85"/>
    </row>
    <row r="28" spans="1:18" x14ac:dyDescent="0.25">
      <c r="A28" s="34" t="s">
        <v>208</v>
      </c>
      <c r="D28" s="27"/>
      <c r="E28" s="26"/>
      <c r="F28" s="27"/>
      <c r="G28" s="27"/>
      <c r="H28" s="27"/>
      <c r="I28" s="27"/>
      <c r="J28" s="27"/>
      <c r="K28" s="27"/>
      <c r="L28" s="27"/>
      <c r="P28" s="62"/>
      <c r="Q28" s="85"/>
      <c r="R28" s="2">
        <f t="shared" si="2"/>
        <v>0</v>
      </c>
    </row>
    <row r="29" spans="1:18" x14ac:dyDescent="0.25">
      <c r="B29" s="2" t="s">
        <v>87</v>
      </c>
      <c r="D29" s="402">
        <v>220415</v>
      </c>
      <c r="E29" s="26"/>
      <c r="F29" s="27"/>
      <c r="G29" s="27"/>
      <c r="H29" s="27"/>
      <c r="I29" s="27"/>
      <c r="J29" s="27"/>
      <c r="K29" s="27"/>
      <c r="L29" s="402">
        <v>110207</v>
      </c>
      <c r="M29" s="39"/>
      <c r="N29" s="2">
        <f t="shared" si="0"/>
        <v>110208</v>
      </c>
      <c r="P29" s="62">
        <f>ROUND(N29/D29,2)</f>
        <v>0.5</v>
      </c>
      <c r="Q29" s="85"/>
      <c r="R29" s="2">
        <f t="shared" si="2"/>
        <v>0</v>
      </c>
    </row>
    <row r="30" spans="1:18" x14ac:dyDescent="0.25">
      <c r="B30" s="2" t="s">
        <v>243</v>
      </c>
      <c r="D30" s="402">
        <v>157123</v>
      </c>
      <c r="E30" s="26"/>
      <c r="F30" s="27"/>
      <c r="G30" s="27"/>
      <c r="H30" s="27"/>
      <c r="I30" s="27"/>
      <c r="J30" s="27"/>
      <c r="K30" s="27"/>
      <c r="L30" s="402">
        <v>133555</v>
      </c>
      <c r="M30" s="39"/>
      <c r="N30" s="2">
        <f t="shared" si="0"/>
        <v>23568</v>
      </c>
      <c r="P30" s="62">
        <f>ROUND(N30/D30,2)</f>
        <v>0.15</v>
      </c>
      <c r="Q30" s="85"/>
      <c r="R30" s="2">
        <f t="shared" si="2"/>
        <v>0</v>
      </c>
    </row>
    <row r="31" spans="1:18" x14ac:dyDescent="0.25">
      <c r="D31" s="27"/>
      <c r="E31" s="26"/>
      <c r="F31" s="27"/>
      <c r="G31" s="27"/>
      <c r="H31" s="27"/>
      <c r="I31" s="27"/>
      <c r="J31" s="27"/>
      <c r="K31" s="27"/>
      <c r="L31" s="27"/>
      <c r="M31" s="39"/>
      <c r="P31" s="62"/>
      <c r="Q31" s="85"/>
      <c r="R31" s="2">
        <f t="shared" si="2"/>
        <v>0</v>
      </c>
    </row>
    <row r="32" spans="1:18" x14ac:dyDescent="0.25">
      <c r="C32" s="2" t="s">
        <v>209</v>
      </c>
      <c r="D32" s="27"/>
      <c r="E32" s="26"/>
      <c r="F32" s="27"/>
      <c r="G32" s="27"/>
      <c r="H32" s="27"/>
      <c r="I32" s="27"/>
      <c r="J32" s="27"/>
      <c r="K32" s="27"/>
      <c r="L32" s="27"/>
      <c r="M32" s="39"/>
      <c r="N32" s="113">
        <f>SUM(N29:N31)</f>
        <v>133776</v>
      </c>
      <c r="P32" s="62"/>
      <c r="Q32" s="85"/>
    </row>
    <row r="33" spans="1:19" x14ac:dyDescent="0.25">
      <c r="D33" s="56"/>
      <c r="E33" s="29"/>
      <c r="F33" s="56"/>
      <c r="G33" s="29"/>
      <c r="H33" s="56"/>
      <c r="I33" s="29"/>
      <c r="J33" s="56"/>
      <c r="K33" s="29"/>
      <c r="L33" s="56"/>
      <c r="M33" s="29"/>
      <c r="N33" s="56"/>
      <c r="O33" s="29"/>
      <c r="P33" s="108"/>
      <c r="R33" s="2">
        <f t="shared" si="2"/>
        <v>0</v>
      </c>
    </row>
    <row r="34" spans="1:19" x14ac:dyDescent="0.25">
      <c r="B34" s="40" t="s">
        <v>129</v>
      </c>
      <c r="C34" s="40"/>
      <c r="D34" s="29">
        <f>SUM(D10:D33)</f>
        <v>1072118</v>
      </c>
      <c r="E34" s="29"/>
      <c r="F34" s="29">
        <f>SUM(F10:F33)</f>
        <v>0</v>
      </c>
      <c r="G34" s="29"/>
      <c r="H34" s="29">
        <f>SUM(H10:H33)</f>
        <v>25000</v>
      </c>
      <c r="I34" s="29"/>
      <c r="J34" s="29">
        <f>SUM(J10:J33)</f>
        <v>0</v>
      </c>
      <c r="K34" s="29"/>
      <c r="L34" s="29">
        <f>SUM(L10:L33)</f>
        <v>259331</v>
      </c>
      <c r="M34" s="29"/>
      <c r="N34" s="29">
        <f>N16+N21+N27+N32</f>
        <v>787787</v>
      </c>
      <c r="O34" s="29"/>
      <c r="P34" s="109"/>
      <c r="R34" s="2">
        <f t="shared" si="2"/>
        <v>0</v>
      </c>
    </row>
    <row r="35" spans="1:19" x14ac:dyDescent="0.25">
      <c r="E35" s="29"/>
      <c r="G35" s="39"/>
      <c r="K35" s="39"/>
      <c r="M35" s="39"/>
      <c r="R35" s="2">
        <f t="shared" si="2"/>
        <v>0</v>
      </c>
    </row>
    <row r="36" spans="1:19" x14ac:dyDescent="0.25">
      <c r="A36" s="205" t="s">
        <v>128</v>
      </c>
      <c r="B36" s="205"/>
      <c r="C36" s="205"/>
      <c r="D36" s="205">
        <v>353799</v>
      </c>
      <c r="E36" s="26"/>
      <c r="F36" s="27"/>
      <c r="G36" s="27"/>
      <c r="H36" s="27">
        <v>8250</v>
      </c>
      <c r="I36" s="27"/>
      <c r="J36" s="27"/>
      <c r="K36" s="27"/>
      <c r="L36" s="27">
        <v>85580</v>
      </c>
      <c r="M36" s="39"/>
      <c r="N36" s="2">
        <f t="shared" ref="N36:N61" si="6">D36-SUM(F36:L36)</f>
        <v>259969</v>
      </c>
      <c r="P36" s="62"/>
      <c r="Q36" s="85"/>
      <c r="R36" s="2">
        <f t="shared" si="2"/>
        <v>0</v>
      </c>
    </row>
    <row r="37" spans="1:19" x14ac:dyDescent="0.25">
      <c r="A37" s="205" t="s">
        <v>242</v>
      </c>
      <c r="B37" s="205"/>
      <c r="C37" s="205"/>
      <c r="D37" s="205"/>
      <c r="E37" s="26"/>
      <c r="F37" s="27"/>
      <c r="G37" s="27"/>
      <c r="H37" s="27"/>
      <c r="I37" s="27"/>
      <c r="J37" s="27"/>
      <c r="K37" s="27"/>
      <c r="L37" s="27"/>
      <c r="M37" s="39"/>
      <c r="P37" s="62"/>
      <c r="Q37" s="85"/>
      <c r="R37" s="2">
        <f t="shared" si="2"/>
        <v>0</v>
      </c>
    </row>
    <row r="38" spans="1:19" x14ac:dyDescent="0.25">
      <c r="B38" s="205" t="s">
        <v>248</v>
      </c>
      <c r="C38" s="205"/>
      <c r="D38" s="205">
        <v>85000</v>
      </c>
      <c r="E38" s="26"/>
      <c r="F38" s="27"/>
      <c r="G38" s="27"/>
      <c r="H38" s="402">
        <v>25000</v>
      </c>
      <c r="I38" s="27"/>
      <c r="J38" s="27"/>
      <c r="K38" s="27"/>
      <c r="L38" s="27"/>
      <c r="M38" s="27"/>
      <c r="N38" s="205">
        <f t="shared" ref="N38:N41" si="7">D38-SUM(F38:L38)</f>
        <v>60000</v>
      </c>
      <c r="O38" s="205"/>
      <c r="P38" s="60"/>
      <c r="Q38" s="85"/>
      <c r="R38" s="2">
        <f t="shared" si="2"/>
        <v>0</v>
      </c>
      <c r="S38" s="6"/>
    </row>
    <row r="39" spans="1:19" x14ac:dyDescent="0.25">
      <c r="B39" s="205" t="s">
        <v>249</v>
      </c>
      <c r="C39" s="205"/>
      <c r="D39" s="205">
        <v>7000</v>
      </c>
      <c r="E39" s="26"/>
      <c r="F39" s="27"/>
      <c r="G39" s="27"/>
      <c r="H39" s="408">
        <v>5486</v>
      </c>
      <c r="I39" s="27"/>
      <c r="J39" s="27"/>
      <c r="K39" s="27"/>
      <c r="L39" s="27"/>
      <c r="M39" s="27"/>
      <c r="N39" s="205">
        <f t="shared" si="7"/>
        <v>1514</v>
      </c>
      <c r="O39" s="205"/>
      <c r="P39" s="60"/>
      <c r="Q39" s="85"/>
      <c r="R39" s="2">
        <f t="shared" si="2"/>
        <v>0</v>
      </c>
      <c r="S39" s="6"/>
    </row>
    <row r="40" spans="1:19" x14ac:dyDescent="0.25">
      <c r="B40" s="205" t="s">
        <v>250</v>
      </c>
      <c r="C40" s="205"/>
      <c r="D40" s="205">
        <v>10000</v>
      </c>
      <c r="E40" s="26"/>
      <c r="F40" s="27"/>
      <c r="G40" s="27"/>
      <c r="H40" s="402"/>
      <c r="I40" s="27"/>
      <c r="J40" s="27"/>
      <c r="K40" s="27"/>
      <c r="L40" s="27"/>
      <c r="M40" s="27"/>
      <c r="N40" s="205">
        <f t="shared" si="7"/>
        <v>10000</v>
      </c>
      <c r="O40" s="205"/>
      <c r="P40" s="60"/>
      <c r="Q40" s="85"/>
      <c r="R40" s="2">
        <f t="shared" si="2"/>
        <v>0</v>
      </c>
      <c r="S40" s="6"/>
    </row>
    <row r="41" spans="1:19" x14ac:dyDescent="0.25">
      <c r="B41" s="205" t="s">
        <v>251</v>
      </c>
      <c r="C41" s="205"/>
      <c r="D41" s="205">
        <v>50000</v>
      </c>
      <c r="E41" s="26"/>
      <c r="F41" s="27"/>
      <c r="G41" s="27"/>
      <c r="H41" s="402"/>
      <c r="I41" s="27"/>
      <c r="J41" s="27"/>
      <c r="K41" s="27"/>
      <c r="L41" s="27"/>
      <c r="M41" s="27"/>
      <c r="N41" s="205">
        <f t="shared" si="7"/>
        <v>50000</v>
      </c>
      <c r="O41" s="205"/>
      <c r="P41" s="60"/>
      <c r="Q41" s="85"/>
      <c r="R41" s="2">
        <f t="shared" si="2"/>
        <v>0</v>
      </c>
      <c r="S41" s="6"/>
    </row>
    <row r="42" spans="1:19" x14ac:dyDescent="0.25">
      <c r="B42" s="205" t="s">
        <v>435</v>
      </c>
      <c r="C42" s="205"/>
      <c r="D42" s="205">
        <f>'Exh H professional services'!C18</f>
        <v>10845</v>
      </c>
      <c r="E42" s="26"/>
      <c r="F42" s="27"/>
      <c r="G42" s="27"/>
      <c r="H42" s="402"/>
      <c r="I42" s="27"/>
      <c r="J42" s="27"/>
      <c r="K42" s="27"/>
      <c r="L42" s="27"/>
      <c r="M42" s="27"/>
      <c r="N42" s="205">
        <f t="shared" ref="N42" si="8">D42-SUM(F42:L42)</f>
        <v>10845</v>
      </c>
      <c r="O42" s="205"/>
      <c r="P42" s="27"/>
      <c r="Q42" s="85"/>
      <c r="R42" s="2">
        <f t="shared" si="2"/>
        <v>0</v>
      </c>
      <c r="S42" s="6">
        <f>N42-'Exh H professional services'!D18</f>
        <v>0</v>
      </c>
    </row>
    <row r="43" spans="1:19" x14ac:dyDescent="0.25">
      <c r="A43" s="205" t="s">
        <v>70</v>
      </c>
      <c r="B43" s="205"/>
      <c r="C43" s="205"/>
      <c r="D43" s="205">
        <v>6000</v>
      </c>
      <c r="E43" s="26"/>
      <c r="F43" s="27"/>
      <c r="G43" s="27"/>
      <c r="H43" s="402"/>
      <c r="I43" s="27"/>
      <c r="J43" s="27"/>
      <c r="K43" s="27"/>
      <c r="L43" s="27"/>
      <c r="M43" s="27"/>
      <c r="N43" s="205">
        <f t="shared" ref="N43:N48" si="9">D43-SUM(F43:L43)</f>
        <v>6000</v>
      </c>
      <c r="O43" s="205"/>
      <c r="P43" s="60"/>
      <c r="Q43" s="85"/>
      <c r="R43" s="2">
        <f t="shared" si="2"/>
        <v>0</v>
      </c>
      <c r="S43" s="6"/>
    </row>
    <row r="44" spans="1:19" x14ac:dyDescent="0.25">
      <c r="A44" s="205" t="s">
        <v>113</v>
      </c>
      <c r="B44" s="205"/>
      <c r="C44" s="205"/>
      <c r="D44" s="205">
        <v>500</v>
      </c>
      <c r="E44" s="26"/>
      <c r="F44" s="27">
        <v>500</v>
      </c>
      <c r="G44" s="27"/>
      <c r="H44" s="402"/>
      <c r="I44" s="27"/>
      <c r="J44" s="27"/>
      <c r="K44" s="27"/>
      <c r="L44" s="27"/>
      <c r="M44" s="27"/>
      <c r="N44" s="205">
        <f t="shared" si="9"/>
        <v>0</v>
      </c>
      <c r="O44" s="205"/>
      <c r="P44" s="60"/>
      <c r="Q44" s="85"/>
      <c r="R44" s="2">
        <f t="shared" si="2"/>
        <v>0</v>
      </c>
      <c r="S44" s="6"/>
    </row>
    <row r="45" spans="1:19" x14ac:dyDescent="0.25">
      <c r="A45" s="205" t="s">
        <v>84</v>
      </c>
      <c r="B45" s="205"/>
      <c r="C45" s="205"/>
      <c r="D45" s="205">
        <v>4526</v>
      </c>
      <c r="E45" s="26"/>
      <c r="F45" s="27"/>
      <c r="G45" s="27"/>
      <c r="H45" s="402"/>
      <c r="I45" s="27"/>
      <c r="J45" s="27"/>
      <c r="K45" s="27"/>
      <c r="L45" s="27"/>
      <c r="M45" s="27"/>
      <c r="N45" s="205">
        <f t="shared" si="9"/>
        <v>4526</v>
      </c>
      <c r="O45" s="205"/>
      <c r="P45" s="60"/>
      <c r="Q45" s="85"/>
      <c r="R45" s="2">
        <f t="shared" si="2"/>
        <v>0</v>
      </c>
      <c r="S45" s="6"/>
    </row>
    <row r="46" spans="1:19" x14ac:dyDescent="0.25">
      <c r="A46" s="205" t="s">
        <v>83</v>
      </c>
      <c r="B46" s="205"/>
      <c r="C46" s="205"/>
      <c r="D46" s="205">
        <v>9529</v>
      </c>
      <c r="E46" s="26"/>
      <c r="F46" s="27"/>
      <c r="G46" s="27"/>
      <c r="H46" s="402"/>
      <c r="I46" s="27"/>
      <c r="J46" s="27"/>
      <c r="K46" s="27"/>
      <c r="L46" s="27"/>
      <c r="M46" s="27"/>
      <c r="N46" s="205">
        <f t="shared" si="9"/>
        <v>9529</v>
      </c>
      <c r="O46" s="205"/>
      <c r="P46" s="60"/>
      <c r="Q46" s="85"/>
      <c r="R46" s="2">
        <f t="shared" si="2"/>
        <v>0</v>
      </c>
      <c r="S46" s="6"/>
    </row>
    <row r="47" spans="1:19" x14ac:dyDescent="0.25">
      <c r="A47" s="205" t="s">
        <v>80</v>
      </c>
      <c r="B47" s="205"/>
      <c r="C47" s="27"/>
      <c r="D47" s="205">
        <v>6000</v>
      </c>
      <c r="E47" s="26"/>
      <c r="F47" s="27"/>
      <c r="G47" s="27"/>
      <c r="H47" s="402"/>
      <c r="I47" s="27"/>
      <c r="J47" s="27"/>
      <c r="K47" s="27"/>
      <c r="L47" s="27"/>
      <c r="M47" s="27"/>
      <c r="N47" s="205">
        <f t="shared" si="9"/>
        <v>6000</v>
      </c>
      <c r="O47" s="205"/>
      <c r="P47" s="60"/>
      <c r="Q47" s="85"/>
      <c r="R47" s="2">
        <f t="shared" si="2"/>
        <v>0</v>
      </c>
      <c r="S47" s="6"/>
    </row>
    <row r="48" spans="1:19" x14ac:dyDescent="0.25">
      <c r="A48" s="205" t="s">
        <v>81</v>
      </c>
      <c r="B48" s="205"/>
      <c r="C48" s="205"/>
      <c r="D48" s="205">
        <v>19309</v>
      </c>
      <c r="E48" s="26"/>
      <c r="F48" s="27"/>
      <c r="G48" s="27"/>
      <c r="H48" s="402"/>
      <c r="I48" s="27"/>
      <c r="J48" s="27"/>
      <c r="K48" s="27"/>
      <c r="L48" s="27"/>
      <c r="M48" s="27"/>
      <c r="N48" s="205">
        <f t="shared" si="9"/>
        <v>19309</v>
      </c>
      <c r="O48" s="205"/>
      <c r="P48" s="60"/>
      <c r="Q48" s="85"/>
      <c r="R48" s="2">
        <f t="shared" si="2"/>
        <v>0</v>
      </c>
      <c r="S48" s="6"/>
    </row>
    <row r="49" spans="1:19" x14ac:dyDescent="0.25">
      <c r="A49" s="205" t="s">
        <v>521</v>
      </c>
      <c r="B49" s="205"/>
      <c r="C49" s="205"/>
      <c r="D49" s="205">
        <v>30000</v>
      </c>
      <c r="E49" s="26"/>
      <c r="F49" s="27"/>
      <c r="G49" s="27"/>
      <c r="H49" s="402"/>
      <c r="I49" s="27"/>
      <c r="J49" s="27">
        <v>15000</v>
      </c>
      <c r="K49" s="27"/>
      <c r="L49" s="27"/>
      <c r="M49" s="27"/>
      <c r="N49" s="205">
        <f>D49-SUM(F49:L49)</f>
        <v>15000</v>
      </c>
      <c r="O49" s="205"/>
      <c r="P49" s="60">
        <f>N49/D49</f>
        <v>0.5</v>
      </c>
      <c r="Q49" s="85"/>
      <c r="R49" s="2">
        <f t="shared" si="2"/>
        <v>0</v>
      </c>
      <c r="S49" s="6"/>
    </row>
    <row r="50" spans="1:19" x14ac:dyDescent="0.25">
      <c r="A50" s="205" t="s">
        <v>91</v>
      </c>
      <c r="B50" s="205"/>
      <c r="C50" s="205"/>
      <c r="D50" s="205">
        <v>55420</v>
      </c>
      <c r="E50" s="26"/>
      <c r="F50" s="27"/>
      <c r="G50" s="27"/>
      <c r="H50" s="402"/>
      <c r="I50" s="27"/>
      <c r="J50" s="27"/>
      <c r="K50" s="27"/>
      <c r="L50" s="27"/>
      <c r="M50" s="39"/>
      <c r="N50" s="2">
        <f t="shared" si="6"/>
        <v>55420</v>
      </c>
      <c r="P50" s="62"/>
      <c r="Q50" s="85"/>
      <c r="R50" s="2">
        <f t="shared" si="2"/>
        <v>0</v>
      </c>
    </row>
    <row r="51" spans="1:19" x14ac:dyDescent="0.25">
      <c r="A51" s="205" t="s">
        <v>82</v>
      </c>
      <c r="B51" s="205"/>
      <c r="C51" s="205"/>
      <c r="D51" s="205">
        <v>2825</v>
      </c>
      <c r="E51" s="26"/>
      <c r="F51" s="27"/>
      <c r="G51" s="27"/>
      <c r="H51" s="402"/>
      <c r="I51" s="27"/>
      <c r="J51" s="27"/>
      <c r="K51" s="27"/>
      <c r="L51" s="27"/>
      <c r="M51" s="39"/>
      <c r="N51" s="2">
        <f t="shared" si="6"/>
        <v>2825</v>
      </c>
      <c r="P51" s="62"/>
      <c r="Q51" s="85"/>
      <c r="R51" s="2">
        <f t="shared" si="2"/>
        <v>0</v>
      </c>
    </row>
    <row r="52" spans="1:19" x14ac:dyDescent="0.25">
      <c r="A52" s="205" t="s">
        <v>93</v>
      </c>
      <c r="B52" s="205"/>
      <c r="C52" s="27"/>
      <c r="D52" s="205">
        <v>3734</v>
      </c>
      <c r="E52" s="26"/>
      <c r="F52" s="27"/>
      <c r="G52" s="27"/>
      <c r="H52" s="402"/>
      <c r="I52" s="27"/>
      <c r="J52" s="27"/>
      <c r="K52" s="27"/>
      <c r="L52" s="27"/>
      <c r="M52" s="39"/>
      <c r="N52" s="2">
        <f t="shared" si="6"/>
        <v>3734</v>
      </c>
      <c r="P52" s="62"/>
      <c r="Q52" s="85"/>
      <c r="R52" s="2">
        <f t="shared" si="2"/>
        <v>0</v>
      </c>
    </row>
    <row r="53" spans="1:19" x14ac:dyDescent="0.25">
      <c r="A53" s="205" t="s">
        <v>92</v>
      </c>
      <c r="B53" s="205"/>
      <c r="C53" s="205"/>
      <c r="D53" s="205">
        <v>25852</v>
      </c>
      <c r="E53" s="26"/>
      <c r="F53" s="27"/>
      <c r="G53" s="27"/>
      <c r="H53" s="402">
        <v>10000</v>
      </c>
      <c r="I53" s="27"/>
      <c r="J53" s="27"/>
      <c r="K53" s="27"/>
      <c r="L53" s="27"/>
      <c r="M53" s="39"/>
      <c r="N53" s="2">
        <f t="shared" si="6"/>
        <v>15852</v>
      </c>
      <c r="P53" s="62"/>
      <c r="Q53" s="85"/>
      <c r="R53" s="2">
        <f t="shared" si="2"/>
        <v>0</v>
      </c>
    </row>
    <row r="54" spans="1:19" x14ac:dyDescent="0.25">
      <c r="A54" s="205" t="s">
        <v>118</v>
      </c>
      <c r="B54" s="205"/>
      <c r="C54" s="205"/>
      <c r="D54" s="205">
        <v>6614</v>
      </c>
      <c r="E54" s="26"/>
      <c r="F54" s="27"/>
      <c r="G54" s="27"/>
      <c r="H54" s="402"/>
      <c r="I54" s="27"/>
      <c r="J54" s="27"/>
      <c r="K54" s="27"/>
      <c r="L54" s="27"/>
      <c r="M54" s="39"/>
      <c r="N54" s="2">
        <f t="shared" si="6"/>
        <v>6614</v>
      </c>
      <c r="P54" s="62"/>
      <c r="Q54" s="85"/>
      <c r="R54" s="2">
        <f t="shared" si="2"/>
        <v>0</v>
      </c>
    </row>
    <row r="55" spans="1:19" x14ac:dyDescent="0.25">
      <c r="A55" s="205" t="s">
        <v>201</v>
      </c>
      <c r="B55" s="205"/>
      <c r="C55" s="205"/>
      <c r="D55" s="205">
        <v>140776</v>
      </c>
      <c r="E55" s="26"/>
      <c r="F55" s="27"/>
      <c r="G55" s="27"/>
      <c r="H55" s="402">
        <v>50000</v>
      </c>
      <c r="I55" s="27"/>
      <c r="J55" s="27"/>
      <c r="K55" s="27"/>
      <c r="L55" s="27"/>
      <c r="M55" s="39"/>
      <c r="N55" s="2">
        <f t="shared" si="6"/>
        <v>90776</v>
      </c>
      <c r="P55" s="62"/>
      <c r="Q55" s="85"/>
      <c r="R55" s="2">
        <f t="shared" si="2"/>
        <v>0</v>
      </c>
    </row>
    <row r="56" spans="1:19" x14ac:dyDescent="0.25">
      <c r="A56" s="205" t="s">
        <v>202</v>
      </c>
      <c r="B56" s="205"/>
      <c r="C56" s="205"/>
      <c r="D56" s="205">
        <v>26000</v>
      </c>
      <c r="E56" s="26"/>
      <c r="F56" s="27"/>
      <c r="G56" s="27"/>
      <c r="H56" s="402"/>
      <c r="I56" s="27"/>
      <c r="J56" s="27"/>
      <c r="K56" s="27"/>
      <c r="L56" s="27"/>
      <c r="M56" s="39"/>
      <c r="N56" s="2">
        <f t="shared" si="6"/>
        <v>26000</v>
      </c>
      <c r="P56" s="62"/>
      <c r="Q56" s="85"/>
      <c r="R56" s="2">
        <f t="shared" si="2"/>
        <v>0</v>
      </c>
    </row>
    <row r="57" spans="1:19" x14ac:dyDescent="0.25">
      <c r="A57" s="205" t="s">
        <v>72</v>
      </c>
      <c r="B57" s="205"/>
      <c r="C57" s="205"/>
      <c r="D57" s="205">
        <v>42000</v>
      </c>
      <c r="E57" s="26"/>
      <c r="F57" s="27"/>
      <c r="G57" s="27"/>
      <c r="H57" s="402"/>
      <c r="I57" s="27"/>
      <c r="J57" s="27"/>
      <c r="K57" s="27"/>
      <c r="L57" s="27">
        <v>35700</v>
      </c>
      <c r="M57" s="39"/>
      <c r="N57" s="2">
        <f t="shared" si="6"/>
        <v>6300</v>
      </c>
      <c r="P57" s="62"/>
      <c r="Q57" s="85"/>
      <c r="R57" s="2">
        <f t="shared" si="2"/>
        <v>0</v>
      </c>
    </row>
    <row r="58" spans="1:19" x14ac:dyDescent="0.25">
      <c r="A58" s="205" t="s">
        <v>94</v>
      </c>
      <c r="B58" s="205"/>
      <c r="C58" s="27"/>
      <c r="D58" s="205">
        <v>27123</v>
      </c>
      <c r="E58" s="26"/>
      <c r="F58" s="27"/>
      <c r="G58" s="27"/>
      <c r="H58" s="402">
        <v>5423</v>
      </c>
      <c r="I58" s="27"/>
      <c r="J58" s="27"/>
      <c r="K58" s="27"/>
      <c r="L58" s="27"/>
      <c r="M58" s="39"/>
      <c r="N58" s="2">
        <f t="shared" si="6"/>
        <v>21700</v>
      </c>
      <c r="P58" s="62"/>
      <c r="Q58" s="85"/>
      <c r="R58" s="2">
        <f t="shared" si="2"/>
        <v>0</v>
      </c>
    </row>
    <row r="59" spans="1:19" x14ac:dyDescent="0.25">
      <c r="A59" s="205" t="s">
        <v>66</v>
      </c>
      <c r="B59" s="205"/>
      <c r="C59" s="205"/>
      <c r="D59" s="205">
        <v>57475</v>
      </c>
      <c r="E59" s="26"/>
      <c r="F59" s="27"/>
      <c r="G59" s="27"/>
      <c r="H59" s="402"/>
      <c r="I59" s="27"/>
      <c r="J59" s="27"/>
      <c r="K59" s="27"/>
      <c r="L59" s="27"/>
      <c r="M59" s="39"/>
      <c r="N59" s="2">
        <f t="shared" si="6"/>
        <v>57475</v>
      </c>
      <c r="P59" s="62"/>
      <c r="Q59" s="85"/>
      <c r="R59" s="2">
        <f t="shared" si="2"/>
        <v>0</v>
      </c>
    </row>
    <row r="60" spans="1:19" x14ac:dyDescent="0.25">
      <c r="A60" s="205" t="s">
        <v>203</v>
      </c>
      <c r="B60" s="205"/>
      <c r="C60" s="205"/>
      <c r="D60" s="205">
        <v>65536</v>
      </c>
      <c r="E60" s="26"/>
      <c r="F60" s="27"/>
      <c r="G60" s="27"/>
      <c r="H60" s="402"/>
      <c r="I60" s="27"/>
      <c r="J60" s="27"/>
      <c r="K60" s="27"/>
      <c r="L60" s="27"/>
      <c r="M60" s="39"/>
      <c r="N60" s="2">
        <f t="shared" si="6"/>
        <v>65536</v>
      </c>
      <c r="P60" s="62"/>
      <c r="Q60" s="85"/>
      <c r="R60" s="2">
        <f t="shared" si="2"/>
        <v>0</v>
      </c>
    </row>
    <row r="61" spans="1:19" x14ac:dyDescent="0.25">
      <c r="A61" s="205" t="s">
        <v>204</v>
      </c>
      <c r="B61" s="205"/>
      <c r="C61" s="205"/>
      <c r="D61" s="205">
        <v>87301</v>
      </c>
      <c r="E61" s="26"/>
      <c r="F61" s="27"/>
      <c r="G61" s="27"/>
      <c r="H61" s="402">
        <v>18123</v>
      </c>
      <c r="I61" s="27"/>
      <c r="J61" s="27"/>
      <c r="K61" s="27"/>
      <c r="L61" s="27"/>
      <c r="M61" s="39"/>
      <c r="N61" s="2">
        <f t="shared" si="6"/>
        <v>69178</v>
      </c>
      <c r="P61" s="62"/>
      <c r="Q61" s="85"/>
      <c r="R61" s="2">
        <f t="shared" si="2"/>
        <v>0</v>
      </c>
    </row>
    <row r="62" spans="1:19" x14ac:dyDescent="0.25">
      <c r="A62" s="205"/>
      <c r="B62" s="205"/>
      <c r="C62" s="205"/>
      <c r="D62" s="205"/>
      <c r="E62" s="26"/>
      <c r="F62" s="27"/>
      <c r="G62" s="27"/>
      <c r="H62" s="27"/>
      <c r="I62" s="27"/>
      <c r="J62" s="27"/>
      <c r="K62" s="27"/>
      <c r="L62" s="27"/>
      <c r="M62" s="39"/>
      <c r="P62" s="62"/>
      <c r="Q62" s="85"/>
      <c r="R62" s="2">
        <f t="shared" si="2"/>
        <v>0</v>
      </c>
    </row>
    <row r="63" spans="1:19" x14ac:dyDescent="0.25">
      <c r="A63" s="205"/>
      <c r="B63" s="205"/>
      <c r="C63" s="205" t="s">
        <v>209</v>
      </c>
      <c r="D63" s="201">
        <f>SUM(D34:D62)</f>
        <v>2205282</v>
      </c>
      <c r="E63" s="26"/>
      <c r="F63" s="201">
        <f>SUM(F34:F62)</f>
        <v>500</v>
      </c>
      <c r="G63" s="27"/>
      <c r="H63" s="201">
        <f>SUM(H34:H62)</f>
        <v>147282</v>
      </c>
      <c r="I63" s="27"/>
      <c r="J63" s="201">
        <f>SUM(J34:J62)</f>
        <v>15000</v>
      </c>
      <c r="K63" s="27"/>
      <c r="L63" s="201">
        <f>SUM(L34:L62)</f>
        <v>380611</v>
      </c>
      <c r="M63" s="39"/>
      <c r="N63" s="201">
        <f>SUM(N34:N62)</f>
        <v>1661889</v>
      </c>
      <c r="P63" s="352" t="s">
        <v>264</v>
      </c>
      <c r="Q63" s="85"/>
      <c r="R63" s="2">
        <f t="shared" si="2"/>
        <v>0</v>
      </c>
    </row>
    <row r="64" spans="1:19" x14ac:dyDescent="0.25">
      <c r="A64" s="205"/>
      <c r="B64" s="205"/>
      <c r="C64" s="205"/>
      <c r="D64" s="205"/>
      <c r="E64" s="26"/>
      <c r="F64" s="205"/>
      <c r="G64" s="27"/>
      <c r="H64" s="205"/>
      <c r="I64" s="27"/>
      <c r="J64" s="205"/>
      <c r="K64" s="27"/>
      <c r="L64" s="205"/>
      <c r="M64" s="39"/>
      <c r="N64" s="205"/>
      <c r="P64" s="62"/>
      <c r="Q64" s="85"/>
      <c r="R64" s="2">
        <f t="shared" si="2"/>
        <v>0</v>
      </c>
    </row>
    <row r="65" spans="1:18" x14ac:dyDescent="0.25">
      <c r="A65" s="205" t="s">
        <v>187</v>
      </c>
      <c r="B65" s="205"/>
      <c r="C65" s="205"/>
      <c r="D65" s="205">
        <f>'Exh G depreciation'!G26</f>
        <v>225919</v>
      </c>
      <c r="E65" s="26"/>
      <c r="F65" s="205"/>
      <c r="G65" s="27"/>
      <c r="H65" s="205"/>
      <c r="I65" s="27"/>
      <c r="J65" s="205"/>
      <c r="K65" s="27"/>
      <c r="L65" s="205"/>
      <c r="M65" s="39"/>
      <c r="N65" s="2">
        <f t="shared" ref="N65" si="10">D65-SUM(F65:L65)</f>
        <v>225919</v>
      </c>
      <c r="P65" s="62"/>
      <c r="Q65" s="85"/>
      <c r="R65" s="2">
        <f t="shared" si="2"/>
        <v>0</v>
      </c>
    </row>
    <row r="66" spans="1:18" x14ac:dyDescent="0.25">
      <c r="D66" s="56"/>
      <c r="E66" s="29"/>
      <c r="F66" s="56"/>
      <c r="G66" s="29"/>
      <c r="H66" s="56"/>
      <c r="I66" s="29"/>
      <c r="J66" s="56"/>
      <c r="K66" s="29"/>
      <c r="L66" s="56"/>
      <c r="M66" s="29"/>
      <c r="N66" s="56"/>
      <c r="O66" s="29"/>
      <c r="P66" s="62"/>
      <c r="R66" s="2">
        <f t="shared" si="2"/>
        <v>0</v>
      </c>
    </row>
    <row r="67" spans="1:18" ht="15.75" thickBot="1" x14ac:dyDescent="0.3">
      <c r="A67" s="2" t="s">
        <v>247</v>
      </c>
      <c r="D67" s="110">
        <f>SUM(D63:D66)</f>
        <v>2431201</v>
      </c>
      <c r="E67" s="50"/>
      <c r="F67" s="110">
        <f>SUM(F63:F66)</f>
        <v>500</v>
      </c>
      <c r="G67" s="50"/>
      <c r="H67" s="110">
        <f>SUM(H63:H66)</f>
        <v>147282</v>
      </c>
      <c r="I67" s="50"/>
      <c r="J67" s="110">
        <f>SUM(J63:J66)</f>
        <v>15000</v>
      </c>
      <c r="K67" s="50"/>
      <c r="L67" s="110">
        <f>SUM(L63:L66)</f>
        <v>380611</v>
      </c>
      <c r="M67" s="50"/>
      <c r="N67" s="110">
        <f>SUM(N63:N66)</f>
        <v>1887808</v>
      </c>
      <c r="O67" s="29"/>
      <c r="P67" s="352" t="s">
        <v>295</v>
      </c>
      <c r="R67" s="2">
        <f t="shared" si="2"/>
        <v>0</v>
      </c>
    </row>
    <row r="68" spans="1:18" ht="15.75" thickTop="1" x14ac:dyDescent="0.25">
      <c r="D68" s="50"/>
      <c r="E68" s="50"/>
      <c r="F68" s="50"/>
      <c r="G68" s="50"/>
      <c r="H68" s="50"/>
      <c r="I68" s="50"/>
      <c r="J68" s="50"/>
      <c r="K68" s="50"/>
      <c r="L68" s="50"/>
      <c r="M68" s="50"/>
      <c r="N68" s="50"/>
      <c r="O68" s="29"/>
      <c r="P68" s="29"/>
      <c r="Q68" s="40"/>
    </row>
    <row r="69" spans="1:18" x14ac:dyDescent="0.25">
      <c r="D69" s="51" t="s">
        <v>231</v>
      </c>
      <c r="E69" s="29"/>
      <c r="M69" s="27"/>
      <c r="N69" s="29">
        <f>D67-SUM(F67:N67)</f>
        <v>0</v>
      </c>
      <c r="P69" s="40" t="s">
        <v>153</v>
      </c>
    </row>
    <row r="70" spans="1:18" x14ac:dyDescent="0.25">
      <c r="P70" s="62"/>
    </row>
    <row r="71" spans="1:18" x14ac:dyDescent="0.25">
      <c r="J71" s="39"/>
      <c r="K71" s="39"/>
      <c r="L71" s="39"/>
      <c r="M71" s="39"/>
      <c r="N71" s="55"/>
      <c r="O71" s="29"/>
      <c r="P71" s="353"/>
    </row>
    <row r="72" spans="1:18" ht="82.5" customHeight="1" x14ac:dyDescent="0.25">
      <c r="A72" s="210" t="s">
        <v>188</v>
      </c>
      <c r="C72" s="446" t="s">
        <v>436</v>
      </c>
      <c r="D72" s="446"/>
      <c r="E72" s="446"/>
      <c r="F72" s="446"/>
      <c r="G72" s="446"/>
      <c r="H72" s="446"/>
      <c r="I72" s="446"/>
      <c r="J72" s="446"/>
      <c r="K72" s="446"/>
      <c r="L72" s="446"/>
      <c r="M72" s="446"/>
      <c r="N72" s="446"/>
      <c r="O72" s="207"/>
      <c r="P72" s="207"/>
      <c r="Q72" s="208"/>
    </row>
    <row r="73" spans="1:18" x14ac:dyDescent="0.25">
      <c r="C73" s="4"/>
      <c r="E73" s="4"/>
      <c r="F73" s="8"/>
      <c r="G73" s="8"/>
      <c r="H73" s="8"/>
      <c r="I73" s="8"/>
      <c r="J73" s="8"/>
      <c r="K73" s="8"/>
      <c r="L73" s="8"/>
      <c r="M73" s="8"/>
      <c r="N73" s="5"/>
      <c r="O73" s="5"/>
      <c r="P73" s="192"/>
      <c r="Q73" s="116"/>
    </row>
    <row r="74" spans="1:18" ht="31.5" customHeight="1" x14ac:dyDescent="0.25">
      <c r="C74" s="441" t="s">
        <v>437</v>
      </c>
      <c r="D74" s="441"/>
      <c r="E74" s="441"/>
      <c r="F74" s="441"/>
      <c r="G74" s="441"/>
      <c r="H74" s="441"/>
      <c r="I74" s="441"/>
      <c r="J74" s="441"/>
      <c r="K74" s="441"/>
      <c r="L74" s="441"/>
      <c r="M74" s="441"/>
      <c r="N74" s="441"/>
      <c r="O74" s="209"/>
      <c r="P74" s="209"/>
      <c r="Q74" s="209"/>
      <c r="R74" s="209"/>
    </row>
    <row r="75" spans="1:18" x14ac:dyDescent="0.25">
      <c r="C75" s="4"/>
      <c r="E75" s="4"/>
      <c r="F75" s="8"/>
      <c r="G75" s="8"/>
      <c r="H75" s="8"/>
      <c r="I75" s="8"/>
      <c r="J75" s="8"/>
      <c r="K75" s="8"/>
      <c r="L75" s="8"/>
      <c r="M75" s="8"/>
      <c r="N75" s="5"/>
      <c r="O75" s="5"/>
      <c r="P75" s="192"/>
      <c r="Q75" s="116"/>
    </row>
    <row r="76" spans="1:18" ht="36" customHeight="1" x14ac:dyDescent="0.25">
      <c r="A76" s="34"/>
      <c r="B76" s="49"/>
      <c r="C76" s="446" t="s">
        <v>438</v>
      </c>
      <c r="D76" s="446"/>
      <c r="E76" s="446"/>
      <c r="F76" s="446"/>
      <c r="G76" s="446"/>
      <c r="H76" s="446"/>
      <c r="I76" s="446"/>
      <c r="J76" s="446"/>
      <c r="K76" s="446"/>
      <c r="L76" s="446"/>
      <c r="M76" s="446"/>
      <c r="N76" s="446"/>
      <c r="O76" s="204"/>
      <c r="P76" s="204"/>
      <c r="Q76" s="204"/>
      <c r="R76" s="354"/>
    </row>
    <row r="77" spans="1:18" x14ac:dyDescent="0.25">
      <c r="B77" s="54"/>
      <c r="C77" s="19"/>
      <c r="E77" s="19"/>
      <c r="F77" s="96"/>
      <c r="G77" s="96"/>
      <c r="H77" s="96"/>
      <c r="I77" s="96"/>
      <c r="J77" s="96"/>
      <c r="K77" s="96"/>
      <c r="L77" s="96"/>
      <c r="M77" s="96"/>
      <c r="N77" s="96"/>
      <c r="O77" s="96"/>
      <c r="P77" s="96"/>
      <c r="Q77" s="116"/>
    </row>
    <row r="78" spans="1:18" ht="34.5" customHeight="1" x14ac:dyDescent="0.25">
      <c r="B78" s="54"/>
      <c r="C78" s="446" t="s">
        <v>439</v>
      </c>
      <c r="D78" s="446"/>
      <c r="E78" s="446"/>
      <c r="F78" s="446"/>
      <c r="G78" s="446"/>
      <c r="H78" s="446"/>
      <c r="I78" s="446"/>
      <c r="J78" s="446"/>
      <c r="K78" s="446"/>
      <c r="L78" s="446"/>
      <c r="M78" s="446"/>
      <c r="N78" s="446"/>
      <c r="O78" s="204"/>
      <c r="P78" s="204"/>
      <c r="Q78" s="204"/>
      <c r="R78" s="354"/>
    </row>
    <row r="79" spans="1:18" x14ac:dyDescent="0.25">
      <c r="B79" s="53"/>
      <c r="C79" s="204"/>
      <c r="E79" s="204"/>
      <c r="F79" s="204"/>
      <c r="G79" s="204"/>
      <c r="H79" s="204"/>
      <c r="I79" s="204"/>
      <c r="J79" s="204"/>
      <c r="K79" s="204"/>
      <c r="L79" s="204"/>
      <c r="M79" s="204"/>
      <c r="N79" s="204"/>
      <c r="O79" s="204"/>
      <c r="P79" s="204"/>
      <c r="Q79" s="206"/>
    </row>
    <row r="80" spans="1:18" ht="50.25" customHeight="1" x14ac:dyDescent="0.25">
      <c r="B80" s="53"/>
      <c r="C80" s="446" t="s">
        <v>440</v>
      </c>
      <c r="D80" s="446"/>
      <c r="E80" s="446"/>
      <c r="F80" s="446"/>
      <c r="G80" s="446"/>
      <c r="H80" s="446"/>
      <c r="I80" s="446"/>
      <c r="J80" s="446"/>
      <c r="K80" s="446"/>
      <c r="L80" s="446"/>
      <c r="M80" s="446"/>
      <c r="N80" s="446"/>
      <c r="O80" s="204"/>
      <c r="P80" s="204"/>
      <c r="Q80" s="206"/>
    </row>
    <row r="81" spans="3:17" ht="15" customHeight="1" x14ac:dyDescent="0.25">
      <c r="C81" s="19"/>
      <c r="E81" s="19"/>
      <c r="F81" s="96"/>
      <c r="G81" s="96"/>
      <c r="H81" s="96"/>
      <c r="I81" s="96"/>
      <c r="J81" s="96"/>
      <c r="K81" s="96"/>
      <c r="L81" s="96"/>
      <c r="M81" s="96"/>
      <c r="N81" s="96"/>
      <c r="O81" s="96"/>
      <c r="P81" s="96"/>
      <c r="Q81" s="116"/>
    </row>
    <row r="82" spans="3:17" ht="34.5" customHeight="1" x14ac:dyDescent="0.25">
      <c r="C82" s="446" t="s">
        <v>441</v>
      </c>
      <c r="D82" s="446"/>
      <c r="E82" s="446"/>
      <c r="F82" s="446"/>
      <c r="G82" s="446"/>
      <c r="H82" s="446"/>
      <c r="I82" s="446"/>
      <c r="J82" s="446"/>
      <c r="K82" s="446"/>
      <c r="L82" s="446"/>
      <c r="M82" s="446"/>
      <c r="N82" s="446"/>
      <c r="O82" s="206"/>
      <c r="P82" s="206"/>
      <c r="Q82" s="206"/>
    </row>
    <row r="84" spans="3:17" ht="33.75" customHeight="1" x14ac:dyDescent="0.25">
      <c r="C84" s="446" t="s">
        <v>442</v>
      </c>
      <c r="D84" s="446"/>
      <c r="E84" s="446"/>
      <c r="F84" s="446"/>
      <c r="G84" s="446"/>
      <c r="H84" s="446"/>
      <c r="I84" s="446"/>
      <c r="J84" s="446"/>
      <c r="K84" s="446"/>
      <c r="L84" s="446"/>
      <c r="M84" s="446"/>
      <c r="N84" s="446"/>
    </row>
    <row r="86" spans="3:17" ht="33.75" customHeight="1" x14ac:dyDescent="0.25">
      <c r="C86" s="446" t="s">
        <v>443</v>
      </c>
      <c r="D86" s="446"/>
      <c r="E86" s="446"/>
      <c r="F86" s="446"/>
      <c r="G86" s="446"/>
      <c r="H86" s="446"/>
      <c r="I86" s="446"/>
      <c r="J86" s="446"/>
      <c r="K86" s="446"/>
      <c r="L86" s="446"/>
      <c r="M86" s="446"/>
      <c r="N86" s="446"/>
    </row>
  </sheetData>
  <sheetProtection formatCells="0" insertRows="0" deleteRows="0"/>
  <protectedRanges>
    <protectedRange sqref="A2:C2" name="Range1"/>
    <protectedRange sqref="D4:E4" name="Range2"/>
    <protectedRange sqref="N4:O4" name="Range3"/>
    <protectedRange sqref="Q11" name="Range4"/>
    <protectedRange sqref="Q15" name="Range5"/>
    <protectedRange sqref="B15:C32 M10:M32 C10:C14" name="Range8"/>
    <protectedRange sqref="M36:M37 M50:M65" name="Range9"/>
    <protectedRange sqref="B10:B14" name="Range8_1"/>
  </protectedRanges>
  <customSheetViews>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3"/>
      <headerFooter alignWithMargins="0">
        <oddFooter>&amp;LSchedule E-1&amp;C&amp;A&amp;RUpdated: &amp;D</oddFooter>
      </headerFooter>
    </customSheetView>
  </customSheetViews>
  <mergeCells count="9">
    <mergeCell ref="C86:N86"/>
    <mergeCell ref="C72:N72"/>
    <mergeCell ref="C76:N76"/>
    <mergeCell ref="C80:N80"/>
    <mergeCell ref="A2:B2"/>
    <mergeCell ref="C74:N74"/>
    <mergeCell ref="C78:N78"/>
    <mergeCell ref="C82:N82"/>
    <mergeCell ref="C84:N84"/>
  </mergeCells>
  <phoneticPr fontId="7" type="noConversion"/>
  <printOptions horizontalCentered="1" headings="1"/>
  <pageMargins left="0.5" right="0.5" top="1" bottom="0.5" header="0.5" footer="0.25"/>
  <pageSetup scale="50" fitToHeight="6" orientation="portrait" r:id="rId4"/>
  <headerFooter alignWithMargins="0">
    <oddFooter>&amp;L&amp;F&amp;C&amp;A&amp;RUpdated: &amp;D</oddFooter>
  </headerFooter>
  <ignoredErrors>
    <ignoredError sqref="P23:P25 N29:N30 N14 P14 N18:N19 P18:P19 N23:N25 P10:P12 N12"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6"/>
  <sheetViews>
    <sheetView zoomScaleNormal="100" workbookViewId="0">
      <pane ySplit="7" topLeftCell="A8" activePane="bottomLeft" state="frozen"/>
      <selection activeCell="A40" sqref="A40:Q40"/>
      <selection pane="bottomLeft" activeCell="A2" sqref="A2:B2"/>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49" customWidth="1"/>
    <col min="7" max="7" width="1.7109375" style="2" customWidth="1"/>
    <col min="8" max="8" width="12.7109375" style="49" customWidth="1"/>
    <col min="9" max="9" width="2.140625" style="49" customWidth="1"/>
    <col min="10" max="10" width="12.7109375" style="49" customWidth="1"/>
    <col min="11" max="11" width="1.7109375" style="2" customWidth="1"/>
    <col min="12" max="12" width="12.7109375" style="49" customWidth="1"/>
    <col min="13" max="13" width="1.7109375" style="2" customWidth="1"/>
    <col min="14" max="14" width="12.7109375" style="2" customWidth="1"/>
    <col min="15" max="15" width="1.7109375" style="2" customWidth="1"/>
    <col min="16" max="16" width="14.140625" style="107" customWidth="1"/>
    <col min="17" max="17" width="1" style="107" customWidth="1"/>
    <col min="18" max="18" width="21.28515625" style="51" customWidth="1"/>
    <col min="19" max="16384" width="9.140625" style="2"/>
  </cols>
  <sheetData>
    <row r="1" spans="1:19" s="21" customFormat="1" ht="18.75" x14ac:dyDescent="0.3">
      <c r="A1" s="421" t="str">
        <f>'start here-do not delete'!D29</f>
        <v>Sample Tribe</v>
      </c>
      <c r="B1" s="421"/>
      <c r="C1" s="421"/>
      <c r="D1" s="33"/>
      <c r="E1" s="33"/>
      <c r="F1" s="61"/>
      <c r="G1" s="33"/>
      <c r="H1" s="61"/>
      <c r="I1" s="61"/>
      <c r="J1" s="61"/>
      <c r="K1" s="33"/>
      <c r="L1" s="61"/>
      <c r="M1" s="33"/>
      <c r="N1" s="33"/>
      <c r="O1" s="33"/>
      <c r="P1" s="100" t="s">
        <v>121</v>
      </c>
      <c r="Q1" s="101"/>
      <c r="R1" s="98"/>
    </row>
    <row r="2" spans="1:19" s="21" customFormat="1" ht="18.75" x14ac:dyDescent="0.3">
      <c r="A2" s="445" t="str">
        <f>'start here-do not delete'!D32</f>
        <v>FY 2025</v>
      </c>
      <c r="B2" s="445"/>
      <c r="C2" s="78" t="s">
        <v>132</v>
      </c>
      <c r="D2" s="33"/>
      <c r="E2" s="33"/>
      <c r="F2" s="61"/>
      <c r="G2" s="33"/>
      <c r="H2" s="61"/>
      <c r="I2" s="61"/>
      <c r="J2" s="61"/>
      <c r="K2" s="33"/>
      <c r="L2" s="61"/>
      <c r="M2" s="33"/>
      <c r="N2" s="33"/>
      <c r="O2" s="33"/>
      <c r="P2" s="99"/>
      <c r="Q2" s="101"/>
      <c r="R2" s="98"/>
    </row>
    <row r="3" spans="1:19" s="102" customFormat="1" ht="15.75" x14ac:dyDescent="0.25">
      <c r="D3" s="22" t="str">
        <f>A2</f>
        <v>FY 2025</v>
      </c>
      <c r="E3" s="22"/>
      <c r="F3" s="23"/>
      <c r="G3" s="23"/>
      <c r="H3" s="22" t="s">
        <v>30</v>
      </c>
      <c r="I3" s="22"/>
      <c r="J3" s="104" t="s">
        <v>166</v>
      </c>
      <c r="K3" s="22"/>
      <c r="L3" s="22" t="s">
        <v>127</v>
      </c>
      <c r="M3" s="22"/>
      <c r="N3" s="22" t="s">
        <v>57</v>
      </c>
      <c r="O3" s="22"/>
      <c r="P3" s="103"/>
      <c r="Q3" s="103"/>
      <c r="R3" s="22"/>
    </row>
    <row r="4" spans="1:19" s="102" customFormat="1" ht="15.75" x14ac:dyDescent="0.25">
      <c r="D4" s="22" t="s">
        <v>210</v>
      </c>
      <c r="E4" s="22"/>
      <c r="F4" s="22"/>
      <c r="G4" s="22"/>
      <c r="H4" s="22" t="s">
        <v>36</v>
      </c>
      <c r="I4" s="22"/>
      <c r="J4" s="104" t="s">
        <v>167</v>
      </c>
      <c r="K4" s="22"/>
      <c r="L4" s="22" t="s">
        <v>97</v>
      </c>
      <c r="M4" s="22"/>
      <c r="N4" s="22" t="str">
        <f>A2</f>
        <v>FY 2025</v>
      </c>
      <c r="O4" s="22"/>
      <c r="P4" s="103" t="s">
        <v>88</v>
      </c>
      <c r="Q4" s="103"/>
      <c r="R4" s="22"/>
    </row>
    <row r="5" spans="1:19" s="102" customFormat="1" ht="15.75" x14ac:dyDescent="0.25">
      <c r="D5" s="24" t="s">
        <v>0</v>
      </c>
      <c r="E5" s="24"/>
      <c r="F5" s="22" t="s">
        <v>35</v>
      </c>
      <c r="G5" s="22"/>
      <c r="H5" s="24" t="s">
        <v>0</v>
      </c>
      <c r="I5" s="24"/>
      <c r="J5" s="149" t="s">
        <v>168</v>
      </c>
      <c r="K5" s="24"/>
      <c r="L5" s="24" t="s">
        <v>154</v>
      </c>
      <c r="M5" s="24"/>
      <c r="N5" s="22" t="s">
        <v>0</v>
      </c>
      <c r="O5" s="24"/>
      <c r="P5" s="103" t="s">
        <v>89</v>
      </c>
      <c r="Q5" s="103"/>
      <c r="R5" s="22"/>
    </row>
    <row r="6" spans="1:19" s="102" customFormat="1" ht="16.5" thickBot="1" x14ac:dyDescent="0.3">
      <c r="A6" s="105" t="s">
        <v>58</v>
      </c>
      <c r="B6" s="105"/>
      <c r="C6" s="105"/>
      <c r="D6" s="25" t="s">
        <v>3</v>
      </c>
      <c r="E6" s="25"/>
      <c r="F6" s="25"/>
      <c r="G6" s="25"/>
      <c r="H6" s="150" t="s">
        <v>433</v>
      </c>
      <c r="I6" s="150"/>
      <c r="J6" s="25" t="s">
        <v>197</v>
      </c>
      <c r="K6" s="25"/>
      <c r="L6" s="25" t="s">
        <v>197</v>
      </c>
      <c r="M6" s="25"/>
      <c r="N6" s="25" t="s">
        <v>6</v>
      </c>
      <c r="O6" s="25"/>
      <c r="P6" s="106" t="s">
        <v>90</v>
      </c>
      <c r="Q6" s="106"/>
      <c r="R6" s="25" t="s">
        <v>59</v>
      </c>
      <c r="S6" s="102" t="s">
        <v>324</v>
      </c>
    </row>
    <row r="7" spans="1:19" x14ac:dyDescent="0.25">
      <c r="F7" s="360" t="s">
        <v>24</v>
      </c>
      <c r="G7" s="55"/>
      <c r="H7" s="360" t="s">
        <v>25</v>
      </c>
      <c r="I7" s="360"/>
      <c r="J7" s="360" t="s">
        <v>55</v>
      </c>
      <c r="K7" s="361"/>
      <c r="L7" s="360" t="s">
        <v>86</v>
      </c>
    </row>
    <row r="8" spans="1:19" x14ac:dyDescent="0.25">
      <c r="A8" s="2" t="s">
        <v>450</v>
      </c>
    </row>
    <row r="9" spans="1:19" x14ac:dyDescent="0.25">
      <c r="A9" s="34" t="s">
        <v>205</v>
      </c>
      <c r="G9" s="49"/>
      <c r="K9" s="49"/>
      <c r="M9" s="49"/>
      <c r="P9" s="2"/>
      <c r="Q9" s="62"/>
    </row>
    <row r="10" spans="1:19" x14ac:dyDescent="0.25">
      <c r="A10" s="34"/>
      <c r="B10" s="257" t="s">
        <v>60</v>
      </c>
      <c r="C10" s="257"/>
      <c r="D10" s="401">
        <v>83000</v>
      </c>
      <c r="E10" s="317"/>
      <c r="F10" s="316"/>
      <c r="G10" s="316"/>
      <c r="H10" s="316"/>
      <c r="I10" s="316"/>
      <c r="J10" s="316"/>
      <c r="K10" s="316"/>
      <c r="L10" s="316"/>
      <c r="M10" s="318"/>
      <c r="N10" s="112">
        <f t="shared" ref="N10:N30" si="0">D10-SUM(F10:L10)</f>
        <v>83000</v>
      </c>
      <c r="P10" s="62">
        <f>ROUND(N10/D10,2)</f>
        <v>1</v>
      </c>
      <c r="Q10" s="62"/>
      <c r="S10" s="2">
        <f>D10-_xlfn.SINGLE(SUM(F10:N10))</f>
        <v>0</v>
      </c>
    </row>
    <row r="11" spans="1:19" x14ac:dyDescent="0.25">
      <c r="A11" s="34"/>
      <c r="B11" s="257" t="s">
        <v>61</v>
      </c>
      <c r="C11" s="257"/>
      <c r="D11" s="402">
        <v>49000</v>
      </c>
      <c r="F11" s="2"/>
      <c r="H11" s="2"/>
      <c r="I11" s="2"/>
      <c r="J11" s="2"/>
      <c r="L11" s="2"/>
      <c r="N11" s="2">
        <f t="shared" si="0"/>
        <v>49000</v>
      </c>
      <c r="P11" s="62">
        <f t="shared" ref="P11:P14" si="1">ROUND(N11/D11,2)</f>
        <v>1</v>
      </c>
      <c r="Q11" s="62"/>
      <c r="S11" s="2">
        <f t="shared" ref="S11:S67" si="2">D11-_xlfn.SINGLE(SUM(F11:N11))</f>
        <v>0</v>
      </c>
    </row>
    <row r="12" spans="1:19" x14ac:dyDescent="0.25">
      <c r="A12" s="34"/>
      <c r="B12" s="257" t="s">
        <v>62</v>
      </c>
      <c r="C12" s="257"/>
      <c r="D12" s="402">
        <v>43000</v>
      </c>
      <c r="F12" s="2"/>
      <c r="H12" s="2"/>
      <c r="I12" s="2"/>
      <c r="J12" s="2"/>
      <c r="L12" s="2"/>
      <c r="N12" s="2">
        <f t="shared" ref="N12" si="3">D12-SUM(F12:L12)</f>
        <v>43000</v>
      </c>
      <c r="P12" s="62">
        <f t="shared" ref="P12" si="4">ROUND(N12/D12,2)</f>
        <v>1</v>
      </c>
      <c r="Q12" s="62"/>
      <c r="S12" s="2">
        <f t="shared" ref="S12" si="5">D12-_xlfn.SINGLE(SUM(F12:N12))</f>
        <v>0</v>
      </c>
    </row>
    <row r="13" spans="1:19" x14ac:dyDescent="0.25">
      <c r="A13" s="34"/>
      <c r="B13" s="257" t="s">
        <v>63</v>
      </c>
      <c r="C13" s="257"/>
      <c r="D13" s="402">
        <v>220000</v>
      </c>
      <c r="F13" s="2"/>
      <c r="H13" s="2">
        <v>30000</v>
      </c>
      <c r="I13" s="2"/>
      <c r="J13" s="2"/>
      <c r="L13" s="2"/>
      <c r="N13" s="2">
        <f t="shared" si="0"/>
        <v>190000</v>
      </c>
      <c r="P13" s="62">
        <f t="shared" si="1"/>
        <v>0.86</v>
      </c>
      <c r="Q13" s="62"/>
      <c r="S13" s="2">
        <f t="shared" si="2"/>
        <v>0</v>
      </c>
    </row>
    <row r="14" spans="1:19" x14ac:dyDescent="0.25">
      <c r="A14" s="34"/>
      <c r="B14" s="257" t="s">
        <v>520</v>
      </c>
      <c r="C14" s="257"/>
      <c r="D14" s="402">
        <v>63000</v>
      </c>
      <c r="F14" s="2"/>
      <c r="H14" s="2"/>
      <c r="I14" s="2"/>
      <c r="J14" s="2"/>
      <c r="L14" s="2"/>
      <c r="N14" s="2">
        <f t="shared" si="0"/>
        <v>63000</v>
      </c>
      <c r="P14" s="62">
        <f t="shared" si="1"/>
        <v>1</v>
      </c>
      <c r="Q14" s="62"/>
      <c r="S14" s="2">
        <f t="shared" si="2"/>
        <v>0</v>
      </c>
    </row>
    <row r="15" spans="1:19" x14ac:dyDescent="0.25">
      <c r="A15" s="34"/>
      <c r="F15" s="2"/>
      <c r="H15" s="2"/>
      <c r="I15" s="2"/>
      <c r="J15" s="2"/>
      <c r="L15" s="2"/>
      <c r="P15" s="62"/>
      <c r="Q15" s="62"/>
      <c r="S15" s="2">
        <f t="shared" si="2"/>
        <v>0</v>
      </c>
    </row>
    <row r="16" spans="1:19" x14ac:dyDescent="0.25">
      <c r="A16" s="34"/>
      <c r="C16" s="2" t="s">
        <v>209</v>
      </c>
      <c r="F16" s="2"/>
      <c r="H16" s="2"/>
      <c r="I16" s="2"/>
      <c r="J16" s="2"/>
      <c r="L16" s="2"/>
      <c r="N16" s="113">
        <f>SUM(N10:N15)</f>
        <v>428000</v>
      </c>
      <c r="P16" s="62"/>
      <c r="Q16" s="62"/>
    </row>
    <row r="17" spans="1:19" x14ac:dyDescent="0.25">
      <c r="A17" s="34" t="s">
        <v>206</v>
      </c>
      <c r="F17" s="2"/>
      <c r="H17" s="2"/>
      <c r="I17" s="2"/>
      <c r="J17" s="2"/>
      <c r="L17" s="2"/>
      <c r="P17" s="62"/>
      <c r="Q17" s="62"/>
      <c r="S17" s="2">
        <f t="shared" si="2"/>
        <v>0</v>
      </c>
    </row>
    <row r="18" spans="1:19" x14ac:dyDescent="0.25">
      <c r="A18" s="34"/>
      <c r="B18" s="2" t="s">
        <v>95</v>
      </c>
      <c r="D18" s="2">
        <v>86000</v>
      </c>
      <c r="F18" s="2"/>
      <c r="H18" s="2"/>
      <c r="I18" s="2"/>
      <c r="J18" s="2"/>
      <c r="L18" s="2"/>
      <c r="N18" s="2">
        <f t="shared" si="0"/>
        <v>86000</v>
      </c>
      <c r="P18" s="62">
        <f t="shared" ref="P18:P19" si="6">ROUND(N18/D18,2)</f>
        <v>1</v>
      </c>
      <c r="Q18" s="62"/>
      <c r="S18" s="2">
        <f t="shared" si="2"/>
        <v>0</v>
      </c>
    </row>
    <row r="19" spans="1:19" x14ac:dyDescent="0.25">
      <c r="A19" s="34"/>
      <c r="B19" s="2" t="s">
        <v>244</v>
      </c>
      <c r="F19" s="2"/>
      <c r="H19" s="2"/>
      <c r="I19" s="2"/>
      <c r="J19" s="2"/>
      <c r="L19" s="2"/>
      <c r="N19" s="2">
        <f t="shared" si="0"/>
        <v>0</v>
      </c>
      <c r="P19" s="62" t="e">
        <f t="shared" si="6"/>
        <v>#DIV/0!</v>
      </c>
      <c r="Q19" s="62"/>
      <c r="S19" s="2">
        <f t="shared" si="2"/>
        <v>0</v>
      </c>
    </row>
    <row r="20" spans="1:19" x14ac:dyDescent="0.25">
      <c r="A20" s="34"/>
      <c r="F20" s="2"/>
      <c r="H20" s="2"/>
      <c r="I20" s="2"/>
      <c r="J20" s="2"/>
      <c r="L20" s="2"/>
      <c r="P20" s="62"/>
      <c r="Q20" s="62"/>
      <c r="S20" s="2">
        <f t="shared" si="2"/>
        <v>0</v>
      </c>
    </row>
    <row r="21" spans="1:19" x14ac:dyDescent="0.25">
      <c r="A21" s="34"/>
      <c r="C21" s="2" t="s">
        <v>209</v>
      </c>
      <c r="F21" s="2"/>
      <c r="H21" s="2"/>
      <c r="I21" s="2"/>
      <c r="J21" s="2"/>
      <c r="L21" s="2"/>
      <c r="N21" s="113">
        <f>SUM(N18:N20)</f>
        <v>86000</v>
      </c>
      <c r="P21" s="62"/>
      <c r="Q21" s="62"/>
    </row>
    <row r="22" spans="1:19" x14ac:dyDescent="0.25">
      <c r="A22" s="34" t="s">
        <v>207</v>
      </c>
      <c r="F22" s="2"/>
      <c r="H22" s="2"/>
      <c r="I22" s="2"/>
      <c r="J22" s="2"/>
      <c r="L22" s="2"/>
      <c r="P22" s="62"/>
      <c r="Q22" s="62"/>
      <c r="S22" s="2">
        <f t="shared" si="2"/>
        <v>0</v>
      </c>
    </row>
    <row r="23" spans="1:19" x14ac:dyDescent="0.25">
      <c r="A23" s="34"/>
      <c r="B23" s="2" t="s">
        <v>64</v>
      </c>
      <c r="D23" s="2">
        <v>62000</v>
      </c>
      <c r="F23" s="2"/>
      <c r="H23" s="2"/>
      <c r="I23" s="2"/>
      <c r="J23" s="2"/>
      <c r="L23" s="2"/>
      <c r="N23" s="2">
        <f t="shared" si="0"/>
        <v>62000</v>
      </c>
      <c r="P23" s="62">
        <f t="shared" ref="P23:P25" si="7">ROUND(N23/D23,2)</f>
        <v>1</v>
      </c>
      <c r="Q23" s="62"/>
      <c r="S23" s="2">
        <f t="shared" si="2"/>
        <v>0</v>
      </c>
    </row>
    <row r="24" spans="1:19" x14ac:dyDescent="0.25">
      <c r="A24" s="34"/>
      <c r="B24" s="2" t="s">
        <v>119</v>
      </c>
      <c r="D24" s="2">
        <v>84000</v>
      </c>
      <c r="F24" s="2"/>
      <c r="H24" s="2"/>
      <c r="I24" s="2"/>
      <c r="J24" s="2"/>
      <c r="L24" s="2"/>
      <c r="N24" s="2">
        <f t="shared" si="0"/>
        <v>84000</v>
      </c>
      <c r="P24" s="62">
        <f t="shared" si="7"/>
        <v>1</v>
      </c>
      <c r="Q24" s="62"/>
      <c r="S24" s="2">
        <f t="shared" si="2"/>
        <v>0</v>
      </c>
    </row>
    <row r="25" spans="1:19" x14ac:dyDescent="0.25">
      <c r="A25" s="34"/>
      <c r="B25" s="2" t="s">
        <v>65</v>
      </c>
      <c r="D25" s="2">
        <v>34000</v>
      </c>
      <c r="F25" s="2"/>
      <c r="H25" s="2"/>
      <c r="I25" s="2"/>
      <c r="J25" s="2"/>
      <c r="L25" s="2"/>
      <c r="N25" s="2">
        <f t="shared" si="0"/>
        <v>34000</v>
      </c>
      <c r="P25" s="62">
        <f t="shared" si="7"/>
        <v>1</v>
      </c>
      <c r="Q25" s="62"/>
      <c r="S25" s="2">
        <f t="shared" si="2"/>
        <v>0</v>
      </c>
    </row>
    <row r="26" spans="1:19" x14ac:dyDescent="0.25">
      <c r="A26" s="34"/>
      <c r="F26" s="2"/>
      <c r="H26" s="2"/>
      <c r="I26" s="2"/>
      <c r="J26" s="2"/>
      <c r="L26" s="2"/>
      <c r="P26" s="62"/>
      <c r="Q26" s="62"/>
      <c r="S26" s="2">
        <f t="shared" si="2"/>
        <v>0</v>
      </c>
    </row>
    <row r="27" spans="1:19" x14ac:dyDescent="0.25">
      <c r="A27" s="34"/>
      <c r="C27" s="2" t="s">
        <v>209</v>
      </c>
      <c r="F27" s="2"/>
      <c r="H27" s="2"/>
      <c r="I27" s="2"/>
      <c r="J27" s="2"/>
      <c r="L27" s="2"/>
      <c r="N27" s="113">
        <f>SUM(N23:N26)</f>
        <v>180000</v>
      </c>
      <c r="P27" s="62"/>
      <c r="Q27" s="62"/>
    </row>
    <row r="28" spans="1:19" x14ac:dyDescent="0.25">
      <c r="A28" s="34" t="s">
        <v>208</v>
      </c>
      <c r="F28" s="2"/>
      <c r="H28" s="2"/>
      <c r="I28" s="2"/>
      <c r="J28" s="2"/>
      <c r="L28" s="2"/>
      <c r="P28" s="62"/>
      <c r="Q28" s="62"/>
      <c r="S28" s="2">
        <f t="shared" si="2"/>
        <v>0</v>
      </c>
    </row>
    <row r="29" spans="1:19" x14ac:dyDescent="0.25">
      <c r="B29" s="2" t="s">
        <v>87</v>
      </c>
      <c r="D29" s="2">
        <v>230000</v>
      </c>
      <c r="F29" s="2"/>
      <c r="H29" s="2"/>
      <c r="I29" s="2"/>
      <c r="J29" s="2"/>
      <c r="L29" s="2">
        <v>111000</v>
      </c>
      <c r="N29" s="2">
        <f t="shared" si="0"/>
        <v>119000</v>
      </c>
      <c r="P29" s="62">
        <f t="shared" ref="P29:P30" si="8">ROUND(N29/D29,2)</f>
        <v>0.52</v>
      </c>
      <c r="Q29" s="62"/>
      <c r="S29" s="2">
        <f t="shared" si="2"/>
        <v>0</v>
      </c>
    </row>
    <row r="30" spans="1:19" x14ac:dyDescent="0.25">
      <c r="B30" s="2" t="s">
        <v>243</v>
      </c>
      <c r="D30" s="2">
        <v>176425</v>
      </c>
      <c r="F30" s="2"/>
      <c r="H30" s="2"/>
      <c r="I30" s="2"/>
      <c r="J30" s="2"/>
      <c r="L30" s="2">
        <v>134000</v>
      </c>
      <c r="N30" s="2">
        <f t="shared" si="0"/>
        <v>42425</v>
      </c>
      <c r="P30" s="62">
        <f t="shared" si="8"/>
        <v>0.24</v>
      </c>
      <c r="Q30" s="62"/>
      <c r="S30" s="2">
        <f t="shared" si="2"/>
        <v>0</v>
      </c>
    </row>
    <row r="31" spans="1:19" x14ac:dyDescent="0.25">
      <c r="D31" s="27"/>
      <c r="E31" s="26"/>
      <c r="F31" s="27"/>
      <c r="G31" s="27"/>
      <c r="H31" s="27"/>
      <c r="I31" s="27"/>
      <c r="J31" s="27"/>
      <c r="K31" s="27"/>
      <c r="L31" s="27"/>
      <c r="M31" s="39"/>
      <c r="P31" s="62"/>
      <c r="Q31" s="62"/>
      <c r="S31" s="2">
        <f t="shared" si="2"/>
        <v>0</v>
      </c>
    </row>
    <row r="32" spans="1:19" x14ac:dyDescent="0.25">
      <c r="C32" s="2" t="s">
        <v>209</v>
      </c>
      <c r="D32" s="27"/>
      <c r="E32" s="26"/>
      <c r="F32" s="27"/>
      <c r="G32" s="27"/>
      <c r="H32" s="27"/>
      <c r="I32" s="27"/>
      <c r="J32" s="27"/>
      <c r="K32" s="27"/>
      <c r="L32" s="27"/>
      <c r="M32" s="39"/>
      <c r="N32" s="113">
        <f>SUM(N29:N31)</f>
        <v>161425</v>
      </c>
      <c r="P32" s="62"/>
      <c r="Q32" s="62"/>
    </row>
    <row r="33" spans="1:21" x14ac:dyDescent="0.25">
      <c r="D33" s="267"/>
      <c r="E33" s="268"/>
      <c r="F33" s="267"/>
      <c r="G33" s="268"/>
      <c r="H33" s="267"/>
      <c r="I33" s="268"/>
      <c r="J33" s="268"/>
      <c r="K33" s="268"/>
      <c r="L33" s="267"/>
      <c r="M33" s="29"/>
      <c r="N33" s="267"/>
      <c r="O33" s="56"/>
      <c r="P33" s="108"/>
      <c r="Q33" s="108"/>
      <c r="S33" s="2">
        <f t="shared" si="2"/>
        <v>0</v>
      </c>
    </row>
    <row r="34" spans="1:21" x14ac:dyDescent="0.25">
      <c r="B34" s="40" t="s">
        <v>130</v>
      </c>
      <c r="C34" s="40"/>
      <c r="D34" s="268">
        <f>SUM(D9:D33)</f>
        <v>1130425</v>
      </c>
      <c r="E34" s="268"/>
      <c r="F34" s="268">
        <f>SUM(F9:F33)</f>
        <v>0</v>
      </c>
      <c r="G34" s="268"/>
      <c r="H34" s="268">
        <f>SUM(H9:H33)</f>
        <v>30000</v>
      </c>
      <c r="I34" s="268"/>
      <c r="J34" s="266">
        <f>SUM(J9:J33)</f>
        <v>0</v>
      </c>
      <c r="K34" s="268"/>
      <c r="L34" s="268">
        <f>SUM(L9:L33)</f>
        <v>245000</v>
      </c>
      <c r="M34" s="29"/>
      <c r="N34" s="268">
        <f>N16+N21+N27+N32</f>
        <v>855425</v>
      </c>
      <c r="O34" s="29"/>
      <c r="P34" s="108"/>
      <c r="Q34" s="108"/>
      <c r="S34" s="2">
        <f t="shared" si="2"/>
        <v>0</v>
      </c>
    </row>
    <row r="35" spans="1:21" x14ac:dyDescent="0.25">
      <c r="D35" s="265"/>
      <c r="E35" s="268"/>
      <c r="F35" s="241"/>
      <c r="G35" s="265"/>
      <c r="H35" s="241"/>
      <c r="I35" s="241"/>
      <c r="J35" s="241"/>
      <c r="K35" s="265"/>
      <c r="L35" s="241"/>
      <c r="N35" s="265"/>
      <c r="S35" s="2">
        <f t="shared" si="2"/>
        <v>0</v>
      </c>
    </row>
    <row r="36" spans="1:21" x14ac:dyDescent="0.25">
      <c r="A36" s="205" t="s">
        <v>128</v>
      </c>
      <c r="B36" s="205"/>
      <c r="C36" s="205"/>
      <c r="D36" s="2">
        <v>370000</v>
      </c>
      <c r="F36" s="2"/>
      <c r="H36" s="2">
        <v>9000</v>
      </c>
      <c r="I36" s="2"/>
      <c r="J36" s="2"/>
      <c r="L36" s="2">
        <v>85580</v>
      </c>
      <c r="N36" s="2">
        <f t="shared" ref="N36:N61" si="9">D36-SUM(F36:L36)</f>
        <v>275420</v>
      </c>
      <c r="P36" s="62"/>
      <c r="Q36" s="62"/>
      <c r="S36" s="2">
        <f t="shared" si="2"/>
        <v>0</v>
      </c>
      <c r="U36" s="403"/>
    </row>
    <row r="37" spans="1:21" x14ac:dyDescent="0.25">
      <c r="A37" s="205" t="s">
        <v>242</v>
      </c>
      <c r="B37" s="205"/>
      <c r="C37" s="205"/>
      <c r="F37" s="2"/>
      <c r="H37" s="2"/>
      <c r="I37" s="2"/>
      <c r="J37" s="2"/>
      <c r="L37" s="2"/>
      <c r="P37" s="62"/>
      <c r="Q37" s="2"/>
      <c r="R37" s="85"/>
      <c r="S37" s="2">
        <f t="shared" si="2"/>
        <v>0</v>
      </c>
    </row>
    <row r="38" spans="1:21" x14ac:dyDescent="0.25">
      <c r="B38" s="205" t="s">
        <v>248</v>
      </c>
      <c r="C38" s="205"/>
      <c r="D38" s="2">
        <v>94000</v>
      </c>
      <c r="F38" s="2"/>
      <c r="H38" s="2">
        <v>25000</v>
      </c>
      <c r="I38" s="2"/>
      <c r="J38" s="2"/>
      <c r="L38" s="2"/>
      <c r="N38" s="2">
        <f t="shared" ref="N38:N42" si="10">D38-SUM(F38:L38)</f>
        <v>69000</v>
      </c>
      <c r="O38" s="205"/>
      <c r="P38" s="60"/>
      <c r="Q38" s="2"/>
      <c r="R38" s="85"/>
      <c r="S38" s="2">
        <f t="shared" si="2"/>
        <v>0</v>
      </c>
    </row>
    <row r="39" spans="1:21" x14ac:dyDescent="0.25">
      <c r="B39" s="205" t="s">
        <v>249</v>
      </c>
      <c r="C39" s="205"/>
      <c r="D39" s="2">
        <v>0</v>
      </c>
      <c r="F39" s="2"/>
      <c r="H39" s="2"/>
      <c r="I39" s="2"/>
      <c r="J39" s="2"/>
      <c r="L39" s="2"/>
      <c r="N39" s="2">
        <f t="shared" si="10"/>
        <v>0</v>
      </c>
      <c r="O39" s="205"/>
      <c r="P39" s="60"/>
      <c r="Q39" s="2"/>
      <c r="R39" s="85"/>
      <c r="S39" s="2">
        <f t="shared" si="2"/>
        <v>0</v>
      </c>
    </row>
    <row r="40" spans="1:21" x14ac:dyDescent="0.25">
      <c r="B40" s="205" t="s">
        <v>250</v>
      </c>
      <c r="C40" s="205"/>
      <c r="D40" s="2">
        <v>13000</v>
      </c>
      <c r="F40" s="2"/>
      <c r="H40" s="2">
        <v>6000</v>
      </c>
      <c r="I40" s="2"/>
      <c r="J40" s="2"/>
      <c r="L40" s="2"/>
      <c r="N40" s="2">
        <f t="shared" si="10"/>
        <v>7000</v>
      </c>
      <c r="O40" s="205"/>
      <c r="P40" s="60"/>
      <c r="Q40" s="2"/>
      <c r="R40" s="85"/>
      <c r="S40" s="2">
        <f t="shared" si="2"/>
        <v>0</v>
      </c>
    </row>
    <row r="41" spans="1:21" x14ac:dyDescent="0.25">
      <c r="B41" s="205" t="s">
        <v>251</v>
      </c>
      <c r="C41" s="205"/>
      <c r="D41" s="2">
        <v>22000</v>
      </c>
      <c r="F41" s="2"/>
      <c r="H41" s="2"/>
      <c r="I41" s="2"/>
      <c r="J41" s="2"/>
      <c r="L41" s="2"/>
      <c r="N41" s="2">
        <f t="shared" si="10"/>
        <v>22000</v>
      </c>
      <c r="O41" s="205"/>
      <c r="P41" s="60"/>
      <c r="Q41" s="2"/>
      <c r="R41" s="85"/>
      <c r="S41" s="2">
        <f t="shared" si="2"/>
        <v>0</v>
      </c>
    </row>
    <row r="42" spans="1:21" x14ac:dyDescent="0.25">
      <c r="B42" s="205" t="s">
        <v>435</v>
      </c>
      <c r="C42" s="205"/>
      <c r="D42" s="2">
        <f>'Exh H professional services'!C34</f>
        <v>12500</v>
      </c>
      <c r="F42" s="2"/>
      <c r="H42" s="2"/>
      <c r="I42" s="2"/>
      <c r="J42" s="2"/>
      <c r="L42" s="2"/>
      <c r="N42" s="2">
        <f t="shared" si="10"/>
        <v>12500</v>
      </c>
      <c r="O42" s="205"/>
      <c r="P42" s="27"/>
      <c r="Q42" s="2"/>
      <c r="R42" s="85"/>
      <c r="S42" s="2">
        <f t="shared" si="2"/>
        <v>0</v>
      </c>
      <c r="T42" s="2">
        <f>N42-'Exh H professional services'!D34</f>
        <v>0</v>
      </c>
    </row>
    <row r="43" spans="1:21" x14ac:dyDescent="0.25">
      <c r="A43" s="205" t="s">
        <v>70</v>
      </c>
      <c r="B43" s="205"/>
      <c r="C43" s="205"/>
      <c r="D43" s="2">
        <v>7000</v>
      </c>
      <c r="F43" s="2"/>
      <c r="H43" s="2"/>
      <c r="I43" s="2"/>
      <c r="J43" s="2"/>
      <c r="L43" s="2"/>
      <c r="N43" s="2">
        <f t="shared" ref="N43:N48" si="11">D43-SUM(F43:L43)</f>
        <v>7000</v>
      </c>
      <c r="O43" s="26"/>
      <c r="P43" s="60"/>
      <c r="Q43" s="62"/>
      <c r="S43" s="2">
        <f t="shared" si="2"/>
        <v>0</v>
      </c>
    </row>
    <row r="44" spans="1:21" x14ac:dyDescent="0.25">
      <c r="A44" s="205" t="s">
        <v>113</v>
      </c>
      <c r="B44" s="205"/>
      <c r="C44" s="205"/>
      <c r="D44" s="2">
        <v>450</v>
      </c>
      <c r="F44" s="2">
        <v>450</v>
      </c>
      <c r="H44" s="2"/>
      <c r="I44" s="2"/>
      <c r="J44" s="2"/>
      <c r="L44" s="2"/>
      <c r="N44" s="2">
        <f t="shared" si="11"/>
        <v>0</v>
      </c>
      <c r="O44" s="26"/>
      <c r="P44" s="60"/>
      <c r="Q44" s="62"/>
      <c r="S44" s="2">
        <f t="shared" si="2"/>
        <v>0</v>
      </c>
    </row>
    <row r="45" spans="1:21" x14ac:dyDescent="0.25">
      <c r="A45" s="205" t="s">
        <v>84</v>
      </c>
      <c r="B45" s="205"/>
      <c r="C45" s="205"/>
      <c r="D45" s="2">
        <v>5000</v>
      </c>
      <c r="F45" s="2"/>
      <c r="H45" s="2"/>
      <c r="I45" s="2"/>
      <c r="J45" s="2"/>
      <c r="L45" s="2"/>
      <c r="N45" s="2">
        <f t="shared" si="11"/>
        <v>5000</v>
      </c>
      <c r="O45" s="26"/>
      <c r="P45" s="60"/>
      <c r="Q45" s="62"/>
      <c r="S45" s="2">
        <f t="shared" si="2"/>
        <v>0</v>
      </c>
    </row>
    <row r="46" spans="1:21" x14ac:dyDescent="0.25">
      <c r="A46" s="205" t="s">
        <v>83</v>
      </c>
      <c r="B46" s="205"/>
      <c r="C46" s="205"/>
      <c r="D46" s="2">
        <v>10000</v>
      </c>
      <c r="F46" s="2"/>
      <c r="H46" s="2"/>
      <c r="I46" s="2"/>
      <c r="J46" s="2"/>
      <c r="L46" s="2"/>
      <c r="N46" s="2">
        <f t="shared" si="11"/>
        <v>10000</v>
      </c>
      <c r="O46" s="26"/>
      <c r="P46" s="60"/>
      <c r="Q46" s="62"/>
      <c r="S46" s="2">
        <f t="shared" si="2"/>
        <v>0</v>
      </c>
    </row>
    <row r="47" spans="1:21" x14ac:dyDescent="0.25">
      <c r="A47" s="205" t="s">
        <v>80</v>
      </c>
      <c r="B47" s="205"/>
      <c r="C47" s="27"/>
      <c r="D47" s="2">
        <v>6000</v>
      </c>
      <c r="F47" s="2"/>
      <c r="H47" s="2"/>
      <c r="I47" s="2"/>
      <c r="J47" s="2"/>
      <c r="L47" s="2"/>
      <c r="N47" s="2">
        <f t="shared" si="11"/>
        <v>6000</v>
      </c>
      <c r="O47" s="26"/>
      <c r="P47" s="60"/>
      <c r="Q47" s="62"/>
      <c r="S47" s="2">
        <f t="shared" si="2"/>
        <v>0</v>
      </c>
    </row>
    <row r="48" spans="1:21" x14ac:dyDescent="0.25">
      <c r="A48" s="205" t="s">
        <v>81</v>
      </c>
      <c r="B48" s="205"/>
      <c r="C48" s="205"/>
      <c r="D48" s="2">
        <v>20000</v>
      </c>
      <c r="F48" s="2"/>
      <c r="H48" s="2"/>
      <c r="I48" s="2"/>
      <c r="J48" s="2"/>
      <c r="L48" s="2"/>
      <c r="N48" s="2">
        <f t="shared" si="11"/>
        <v>20000</v>
      </c>
      <c r="O48" s="26"/>
      <c r="P48" s="60"/>
      <c r="Q48" s="62"/>
      <c r="S48" s="2">
        <f t="shared" si="2"/>
        <v>0</v>
      </c>
    </row>
    <row r="49" spans="1:19" x14ac:dyDescent="0.25">
      <c r="A49" s="205" t="s">
        <v>521</v>
      </c>
      <c r="B49" s="205"/>
      <c r="C49" s="205"/>
      <c r="D49" s="2">
        <v>30000</v>
      </c>
      <c r="F49" s="2"/>
      <c r="H49" s="2"/>
      <c r="I49" s="2"/>
      <c r="J49" s="2">
        <v>15000</v>
      </c>
      <c r="L49" s="2"/>
      <c r="N49" s="2">
        <f>D49-SUM(F49:L49)</f>
        <v>15000</v>
      </c>
      <c r="O49" s="205"/>
      <c r="P49" s="60">
        <f>N49/D49</f>
        <v>0.5</v>
      </c>
      <c r="Q49" s="62"/>
      <c r="S49" s="2">
        <f t="shared" si="2"/>
        <v>0</v>
      </c>
    </row>
    <row r="50" spans="1:19" x14ac:dyDescent="0.25">
      <c r="A50" s="205" t="s">
        <v>91</v>
      </c>
      <c r="B50" s="205"/>
      <c r="C50" s="205"/>
      <c r="D50" s="2">
        <v>56000</v>
      </c>
      <c r="F50" s="2"/>
      <c r="H50" s="2"/>
      <c r="I50" s="2"/>
      <c r="J50" s="2"/>
      <c r="L50" s="2"/>
      <c r="N50" s="2">
        <f t="shared" si="9"/>
        <v>56000</v>
      </c>
      <c r="P50" s="62"/>
      <c r="Q50" s="62"/>
      <c r="S50" s="2">
        <f t="shared" si="2"/>
        <v>0</v>
      </c>
    </row>
    <row r="51" spans="1:19" x14ac:dyDescent="0.25">
      <c r="A51" s="205" t="s">
        <v>82</v>
      </c>
      <c r="B51" s="205"/>
      <c r="C51" s="205"/>
      <c r="D51" s="2">
        <v>3000</v>
      </c>
      <c r="F51" s="2"/>
      <c r="H51" s="2"/>
      <c r="I51" s="2"/>
      <c r="J51" s="2"/>
      <c r="L51" s="2"/>
      <c r="N51" s="2">
        <f t="shared" si="9"/>
        <v>3000</v>
      </c>
      <c r="P51" s="62"/>
      <c r="Q51" s="62"/>
      <c r="S51" s="2">
        <f t="shared" si="2"/>
        <v>0</v>
      </c>
    </row>
    <row r="52" spans="1:19" x14ac:dyDescent="0.25">
      <c r="A52" s="205" t="s">
        <v>93</v>
      </c>
      <c r="B52" s="205"/>
      <c r="C52" s="27"/>
      <c r="D52" s="2">
        <v>4000</v>
      </c>
      <c r="F52" s="2"/>
      <c r="H52" s="2"/>
      <c r="I52" s="2"/>
      <c r="J52" s="2"/>
      <c r="L52" s="2"/>
      <c r="N52" s="2">
        <f t="shared" si="9"/>
        <v>4000</v>
      </c>
      <c r="P52" s="62"/>
      <c r="Q52" s="62"/>
      <c r="S52" s="2">
        <f t="shared" si="2"/>
        <v>0</v>
      </c>
    </row>
    <row r="53" spans="1:19" x14ac:dyDescent="0.25">
      <c r="A53" s="205" t="s">
        <v>92</v>
      </c>
      <c r="B53" s="205"/>
      <c r="C53" s="205"/>
      <c r="D53" s="2">
        <v>26000</v>
      </c>
      <c r="F53" s="2"/>
      <c r="H53" s="2">
        <v>10000</v>
      </c>
      <c r="I53" s="2"/>
      <c r="J53" s="2"/>
      <c r="L53" s="2"/>
      <c r="N53" s="2">
        <f t="shared" si="9"/>
        <v>16000</v>
      </c>
      <c r="P53" s="62"/>
      <c r="Q53" s="62"/>
      <c r="S53" s="2">
        <f t="shared" si="2"/>
        <v>0</v>
      </c>
    </row>
    <row r="54" spans="1:19" x14ac:dyDescent="0.25">
      <c r="A54" s="205" t="s">
        <v>118</v>
      </c>
      <c r="B54" s="205"/>
      <c r="C54" s="205"/>
      <c r="D54" s="2">
        <v>6000</v>
      </c>
      <c r="F54" s="2"/>
      <c r="H54" s="2"/>
      <c r="I54" s="2"/>
      <c r="J54" s="2"/>
      <c r="L54" s="2"/>
      <c r="N54" s="2">
        <f t="shared" si="9"/>
        <v>6000</v>
      </c>
      <c r="P54" s="62"/>
      <c r="Q54" s="62"/>
      <c r="S54" s="2">
        <f t="shared" si="2"/>
        <v>0</v>
      </c>
    </row>
    <row r="55" spans="1:19" x14ac:dyDescent="0.25">
      <c r="A55" s="205" t="s">
        <v>68</v>
      </c>
      <c r="B55" s="205"/>
      <c r="C55" s="205"/>
      <c r="D55" s="2">
        <v>142000</v>
      </c>
      <c r="F55" s="2"/>
      <c r="H55" s="2">
        <v>45000</v>
      </c>
      <c r="I55" s="2"/>
      <c r="J55" s="2"/>
      <c r="L55" s="2"/>
      <c r="N55" s="2">
        <f t="shared" si="9"/>
        <v>97000</v>
      </c>
      <c r="P55" s="62"/>
      <c r="Q55" s="62"/>
      <c r="S55" s="2">
        <f t="shared" si="2"/>
        <v>0</v>
      </c>
    </row>
    <row r="56" spans="1:19" x14ac:dyDescent="0.25">
      <c r="A56" s="205" t="s">
        <v>71</v>
      </c>
      <c r="B56" s="205"/>
      <c r="C56" s="205"/>
      <c r="D56" s="2">
        <v>26000</v>
      </c>
      <c r="F56" s="2"/>
      <c r="H56" s="2"/>
      <c r="I56" s="2"/>
      <c r="J56" s="2"/>
      <c r="L56" s="2"/>
      <c r="N56" s="2">
        <f t="shared" si="9"/>
        <v>26000</v>
      </c>
      <c r="P56" s="62"/>
      <c r="Q56" s="62"/>
      <c r="S56" s="2">
        <f t="shared" si="2"/>
        <v>0</v>
      </c>
    </row>
    <row r="57" spans="1:19" x14ac:dyDescent="0.25">
      <c r="A57" s="205" t="s">
        <v>72</v>
      </c>
      <c r="B57" s="205"/>
      <c r="C57" s="205"/>
      <c r="D57" s="2">
        <v>42000</v>
      </c>
      <c r="F57" s="2"/>
      <c r="H57" s="2"/>
      <c r="I57" s="2"/>
      <c r="J57" s="2"/>
      <c r="L57" s="2">
        <v>27000</v>
      </c>
      <c r="N57" s="2">
        <f t="shared" si="9"/>
        <v>15000</v>
      </c>
      <c r="P57" s="62"/>
      <c r="Q57" s="62"/>
      <c r="S57" s="2">
        <f t="shared" si="2"/>
        <v>0</v>
      </c>
    </row>
    <row r="58" spans="1:19" x14ac:dyDescent="0.25">
      <c r="A58" s="205" t="s">
        <v>94</v>
      </c>
      <c r="B58" s="205"/>
      <c r="C58" s="27"/>
      <c r="D58" s="2">
        <v>30000</v>
      </c>
      <c r="F58" s="2"/>
      <c r="H58" s="2">
        <v>8625</v>
      </c>
      <c r="I58" s="2"/>
      <c r="J58" s="2"/>
      <c r="L58" s="2"/>
      <c r="N58" s="2">
        <f t="shared" si="9"/>
        <v>21375</v>
      </c>
      <c r="P58" s="62"/>
      <c r="Q58" s="62"/>
      <c r="S58" s="2">
        <f t="shared" si="2"/>
        <v>0</v>
      </c>
    </row>
    <row r="59" spans="1:19" x14ac:dyDescent="0.25">
      <c r="A59" s="205" t="s">
        <v>66</v>
      </c>
      <c r="B59" s="205"/>
      <c r="C59" s="205"/>
      <c r="D59" s="2">
        <v>57000</v>
      </c>
      <c r="F59" s="2"/>
      <c r="H59" s="2"/>
      <c r="I59" s="2"/>
      <c r="J59" s="2"/>
      <c r="L59" s="2"/>
      <c r="N59" s="2">
        <f t="shared" si="9"/>
        <v>57000</v>
      </c>
      <c r="P59" s="62"/>
      <c r="Q59" s="62"/>
      <c r="S59" s="2">
        <f t="shared" si="2"/>
        <v>0</v>
      </c>
    </row>
    <row r="60" spans="1:19" x14ac:dyDescent="0.25">
      <c r="A60" s="205" t="s">
        <v>69</v>
      </c>
      <c r="B60" s="205"/>
      <c r="C60" s="205"/>
      <c r="D60" s="2">
        <v>66000</v>
      </c>
      <c r="F60" s="2"/>
      <c r="H60" s="2"/>
      <c r="I60" s="2"/>
      <c r="J60" s="2"/>
      <c r="L60" s="2"/>
      <c r="N60" s="2">
        <f t="shared" si="9"/>
        <v>66000</v>
      </c>
      <c r="P60" s="62"/>
      <c r="Q60" s="62"/>
      <c r="S60" s="2">
        <f t="shared" si="2"/>
        <v>0</v>
      </c>
    </row>
    <row r="61" spans="1:19" x14ac:dyDescent="0.25">
      <c r="A61" s="205" t="s">
        <v>67</v>
      </c>
      <c r="B61" s="205"/>
      <c r="C61" s="205"/>
      <c r="D61" s="2">
        <v>87000</v>
      </c>
      <c r="F61" s="2"/>
      <c r="H61" s="2"/>
      <c r="I61" s="2"/>
      <c r="J61" s="2"/>
      <c r="L61" s="2"/>
      <c r="N61" s="2">
        <f t="shared" si="9"/>
        <v>87000</v>
      </c>
      <c r="P61" s="62"/>
      <c r="Q61" s="62"/>
      <c r="S61" s="2">
        <f t="shared" si="2"/>
        <v>0</v>
      </c>
    </row>
    <row r="62" spans="1:19" x14ac:dyDescent="0.25">
      <c r="A62" s="205"/>
      <c r="B62" s="205"/>
      <c r="C62" s="205"/>
      <c r="D62" s="269"/>
      <c r="E62" s="272"/>
      <c r="F62" s="271"/>
      <c r="G62" s="271"/>
      <c r="H62" s="271"/>
      <c r="I62" s="271"/>
      <c r="J62" s="271"/>
      <c r="K62" s="271"/>
      <c r="L62" s="271"/>
      <c r="N62" s="265"/>
      <c r="P62" s="62"/>
      <c r="Q62" s="62"/>
      <c r="S62" s="2">
        <f t="shared" si="2"/>
        <v>0</v>
      </c>
    </row>
    <row r="63" spans="1:19" x14ac:dyDescent="0.25">
      <c r="A63" s="205"/>
      <c r="B63" s="205"/>
      <c r="C63" s="205" t="s">
        <v>209</v>
      </c>
      <c r="D63" s="270">
        <f>SUM(D34:D62)</f>
        <v>2265375</v>
      </c>
      <c r="E63" s="272"/>
      <c r="F63" s="270">
        <f>SUM(F34:F62)</f>
        <v>450</v>
      </c>
      <c r="G63" s="271"/>
      <c r="H63" s="270">
        <f>SUM(H34:H62)</f>
        <v>133625</v>
      </c>
      <c r="I63" s="271"/>
      <c r="J63" s="270">
        <f>SUM(J34:J62)</f>
        <v>15000</v>
      </c>
      <c r="K63" s="271"/>
      <c r="L63" s="270">
        <f>SUM(L34:L62)</f>
        <v>357580</v>
      </c>
      <c r="N63" s="270">
        <f>SUM(N34:N62)</f>
        <v>1758720</v>
      </c>
      <c r="P63" s="352" t="s">
        <v>264</v>
      </c>
      <c r="Q63" s="62"/>
      <c r="S63" s="2">
        <f t="shared" si="2"/>
        <v>0</v>
      </c>
    </row>
    <row r="64" spans="1:19" x14ac:dyDescent="0.25">
      <c r="A64" s="205"/>
      <c r="B64" s="205"/>
      <c r="C64" s="205"/>
      <c r="D64" s="269"/>
      <c r="E64" s="272"/>
      <c r="F64" s="269"/>
      <c r="G64" s="271"/>
      <c r="H64" s="269"/>
      <c r="I64" s="271"/>
      <c r="J64" s="269"/>
      <c r="K64" s="271"/>
      <c r="L64" s="269"/>
      <c r="N64" s="269"/>
      <c r="P64" s="62"/>
      <c r="Q64" s="62"/>
      <c r="S64" s="2">
        <f t="shared" si="2"/>
        <v>0</v>
      </c>
    </row>
    <row r="65" spans="1:19" x14ac:dyDescent="0.25">
      <c r="A65" s="205" t="s">
        <v>187</v>
      </c>
      <c r="B65" s="205"/>
      <c r="C65" s="205"/>
      <c r="D65" s="269">
        <f>'Exh G depreciation'!I26</f>
        <v>234840</v>
      </c>
      <c r="E65" s="272"/>
      <c r="F65" s="269"/>
      <c r="G65" s="271"/>
      <c r="H65" s="269"/>
      <c r="I65" s="271"/>
      <c r="J65" s="269"/>
      <c r="K65" s="271"/>
      <c r="L65" s="269"/>
      <c r="N65" s="265">
        <f t="shared" ref="N65" si="12">D65-SUM(F65:L65)</f>
        <v>234840</v>
      </c>
      <c r="P65" s="62"/>
      <c r="Q65" s="62"/>
      <c r="S65" s="2">
        <f t="shared" si="2"/>
        <v>0</v>
      </c>
    </row>
    <row r="66" spans="1:19" x14ac:dyDescent="0.25">
      <c r="D66" s="56"/>
      <c r="E66" s="29"/>
      <c r="F66" s="56"/>
      <c r="G66" s="29"/>
      <c r="H66" s="56"/>
      <c r="I66" s="29"/>
      <c r="J66" s="56"/>
      <c r="K66" s="29"/>
      <c r="L66" s="56"/>
      <c r="M66" s="29"/>
      <c r="N66" s="267"/>
      <c r="O66" s="29"/>
      <c r="P66" s="62"/>
      <c r="Q66" s="62"/>
      <c r="S66" s="2">
        <f t="shared" si="2"/>
        <v>0</v>
      </c>
    </row>
    <row r="67" spans="1:19" ht="15.75" thickBot="1" x14ac:dyDescent="0.3">
      <c r="A67" s="2" t="s">
        <v>247</v>
      </c>
      <c r="D67" s="244">
        <f>SUM(D63:D66)</f>
        <v>2500215</v>
      </c>
      <c r="E67" s="274"/>
      <c r="F67" s="244">
        <f>SUM(F63:F66)</f>
        <v>450</v>
      </c>
      <c r="G67" s="274"/>
      <c r="H67" s="244">
        <f>SUM(H63:H66)</f>
        <v>133625</v>
      </c>
      <c r="I67" s="274"/>
      <c r="J67" s="244">
        <f>SUM(J63:J66)</f>
        <v>15000</v>
      </c>
      <c r="K67" s="274"/>
      <c r="L67" s="244">
        <f>SUM(L63:L66)</f>
        <v>357580</v>
      </c>
      <c r="M67" s="50"/>
      <c r="N67" s="244">
        <f>SUM(N63:N66)</f>
        <v>1993560</v>
      </c>
      <c r="O67" s="29"/>
      <c r="P67" s="352" t="s">
        <v>295</v>
      </c>
      <c r="S67" s="2">
        <f t="shared" si="2"/>
        <v>0</v>
      </c>
    </row>
    <row r="68" spans="1:19" ht="15.75" thickTop="1" x14ac:dyDescent="0.25">
      <c r="D68" s="50"/>
      <c r="E68" s="50"/>
      <c r="F68" s="50"/>
      <c r="G68" s="50"/>
      <c r="H68" s="50"/>
      <c r="I68" s="50"/>
      <c r="J68" s="50"/>
      <c r="K68" s="50"/>
      <c r="L68" s="50"/>
      <c r="M68" s="50"/>
      <c r="N68" s="60"/>
      <c r="O68" s="29"/>
    </row>
    <row r="69" spans="1:19" x14ac:dyDescent="0.25">
      <c r="D69" s="50"/>
      <c r="E69" s="50"/>
      <c r="F69" s="50"/>
      <c r="G69" s="50"/>
      <c r="H69" s="50"/>
      <c r="I69" s="50"/>
      <c r="J69" s="50"/>
      <c r="K69" s="50"/>
      <c r="L69" s="50"/>
      <c r="M69" s="50"/>
      <c r="N69" s="268">
        <f>D67-SUM(F67:N67)</f>
        <v>0</v>
      </c>
      <c r="O69" s="62"/>
      <c r="P69" s="40" t="s">
        <v>153</v>
      </c>
      <c r="Q69" s="62"/>
      <c r="R69" s="40"/>
    </row>
    <row r="70" spans="1:19" x14ac:dyDescent="0.25">
      <c r="M70" s="55"/>
      <c r="P70" s="62"/>
      <c r="Q70" s="62"/>
    </row>
    <row r="71" spans="1:19" x14ac:dyDescent="0.25">
      <c r="D71" s="29"/>
      <c r="E71" s="29"/>
      <c r="G71" s="29"/>
      <c r="K71" s="29"/>
      <c r="M71" s="29"/>
      <c r="O71" s="29"/>
      <c r="P71" s="108"/>
      <c r="Q71" s="108"/>
    </row>
    <row r="72" spans="1:19" ht="80.25" customHeight="1" x14ac:dyDescent="0.25">
      <c r="A72" s="114" t="s">
        <v>56</v>
      </c>
      <c r="B72" s="114"/>
      <c r="C72" s="446" t="s">
        <v>436</v>
      </c>
      <c r="D72" s="446"/>
      <c r="E72" s="446"/>
      <c r="F72" s="446"/>
      <c r="G72" s="446"/>
      <c r="H72" s="446"/>
      <c r="I72" s="446"/>
      <c r="J72" s="446"/>
      <c r="K72" s="446"/>
      <c r="L72" s="446"/>
      <c r="M72" s="446"/>
      <c r="N72" s="446"/>
      <c r="O72" s="204"/>
      <c r="P72" s="203"/>
      <c r="Q72" s="203"/>
      <c r="R72" s="2"/>
    </row>
    <row r="73" spans="1:19" ht="13.5" customHeight="1" x14ac:dyDescent="0.25">
      <c r="A73" s="34"/>
      <c r="B73" s="49"/>
      <c r="C73" s="4"/>
      <c r="D73" s="4"/>
      <c r="E73" s="8"/>
      <c r="F73" s="8"/>
      <c r="G73" s="8"/>
      <c r="H73" s="8"/>
      <c r="I73" s="8"/>
      <c r="J73" s="8"/>
      <c r="K73" s="8"/>
      <c r="L73" s="8"/>
      <c r="M73" s="5"/>
      <c r="N73" s="5"/>
      <c r="O73" s="192"/>
      <c r="P73" s="115"/>
      <c r="Q73" s="116"/>
      <c r="R73" s="2"/>
    </row>
    <row r="74" spans="1:19" ht="33.75" customHeight="1" x14ac:dyDescent="0.25">
      <c r="B74" s="54"/>
      <c r="C74" s="441" t="s">
        <v>437</v>
      </c>
      <c r="D74" s="441"/>
      <c r="E74" s="441"/>
      <c r="F74" s="441"/>
      <c r="G74" s="441"/>
      <c r="H74" s="441"/>
      <c r="I74" s="441"/>
      <c r="J74" s="441"/>
      <c r="K74" s="441"/>
      <c r="L74" s="441"/>
      <c r="M74" s="441"/>
      <c r="N74" s="441"/>
      <c r="O74" s="209"/>
      <c r="P74" s="209"/>
      <c r="Q74" s="209"/>
      <c r="R74" s="2"/>
    </row>
    <row r="75" spans="1:19" ht="13.5" customHeight="1" x14ac:dyDescent="0.25">
      <c r="B75" s="54"/>
      <c r="C75" s="4"/>
      <c r="D75" s="4"/>
      <c r="E75" s="8"/>
      <c r="F75" s="8"/>
      <c r="G75" s="8"/>
      <c r="H75" s="8"/>
      <c r="I75" s="8"/>
      <c r="J75" s="8"/>
      <c r="K75" s="8"/>
      <c r="L75" s="8"/>
      <c r="M75" s="5"/>
      <c r="N75" s="5"/>
      <c r="O75" s="192"/>
      <c r="P75" s="115"/>
      <c r="Q75" s="116"/>
      <c r="R75" s="2"/>
    </row>
    <row r="76" spans="1:19" ht="29.25" customHeight="1" x14ac:dyDescent="0.25">
      <c r="B76" s="53"/>
      <c r="C76" s="446" t="s">
        <v>438</v>
      </c>
      <c r="D76" s="446"/>
      <c r="E76" s="446"/>
      <c r="F76" s="446"/>
      <c r="G76" s="446"/>
      <c r="H76" s="446"/>
      <c r="I76" s="446"/>
      <c r="J76" s="446"/>
      <c r="K76" s="446"/>
      <c r="L76" s="446"/>
      <c r="M76" s="446"/>
      <c r="N76" s="446"/>
      <c r="O76" s="204"/>
      <c r="P76" s="203"/>
      <c r="Q76" s="203"/>
      <c r="R76" s="2"/>
    </row>
    <row r="77" spans="1:19" ht="13.5" customHeight="1" x14ac:dyDescent="0.25">
      <c r="C77" s="19"/>
      <c r="D77" s="19"/>
      <c r="E77" s="96"/>
      <c r="F77" s="96"/>
      <c r="G77" s="96"/>
      <c r="H77" s="96"/>
      <c r="I77" s="96"/>
      <c r="J77" s="96"/>
      <c r="K77" s="96"/>
      <c r="L77" s="96"/>
      <c r="M77" s="96"/>
      <c r="N77" s="96"/>
      <c r="O77" s="96"/>
      <c r="P77" s="115"/>
      <c r="Q77" s="116"/>
      <c r="R77" s="2"/>
    </row>
    <row r="78" spans="1:19" ht="29.45" customHeight="1" x14ac:dyDescent="0.25">
      <c r="C78" s="446" t="s">
        <v>451</v>
      </c>
      <c r="D78" s="446"/>
      <c r="E78" s="446"/>
      <c r="F78" s="446"/>
      <c r="G78" s="446"/>
      <c r="H78" s="446"/>
      <c r="I78" s="446"/>
      <c r="J78" s="446"/>
      <c r="K78" s="446"/>
      <c r="L78" s="446"/>
      <c r="M78" s="446"/>
      <c r="N78" s="446"/>
      <c r="O78" s="204"/>
      <c r="P78" s="203"/>
      <c r="Q78" s="203"/>
      <c r="R78" s="2"/>
    </row>
    <row r="79" spans="1:19" x14ac:dyDescent="0.25">
      <c r="C79" s="19"/>
      <c r="D79" s="19"/>
      <c r="E79" s="96"/>
      <c r="F79" s="96"/>
      <c r="G79" s="96"/>
      <c r="H79" s="96"/>
      <c r="I79" s="96"/>
      <c r="J79" s="96"/>
      <c r="K79" s="96"/>
      <c r="L79" s="96"/>
      <c r="M79" s="96"/>
      <c r="N79" s="96"/>
      <c r="O79" s="96"/>
      <c r="P79" s="115"/>
      <c r="Q79" s="116"/>
      <c r="R79" s="2"/>
    </row>
    <row r="80" spans="1:19" ht="52.5" customHeight="1" x14ac:dyDescent="0.25">
      <c r="C80" s="446" t="s">
        <v>452</v>
      </c>
      <c r="D80" s="446"/>
      <c r="E80" s="446"/>
      <c r="F80" s="446"/>
      <c r="G80" s="446"/>
      <c r="H80" s="446"/>
      <c r="I80" s="446"/>
      <c r="J80" s="446"/>
      <c r="K80" s="446"/>
      <c r="L80" s="446"/>
      <c r="M80" s="446"/>
      <c r="N80" s="446"/>
      <c r="O80" s="204"/>
      <c r="P80" s="203"/>
      <c r="Q80" s="203"/>
      <c r="R80" s="2"/>
    </row>
    <row r="81" spans="3:18" x14ac:dyDescent="0.25">
      <c r="C81" s="19"/>
      <c r="D81" s="19"/>
      <c r="E81" s="96"/>
      <c r="F81" s="96"/>
      <c r="G81" s="96"/>
      <c r="H81" s="96"/>
      <c r="I81" s="96"/>
      <c r="J81" s="96"/>
      <c r="K81" s="96"/>
      <c r="L81" s="96"/>
      <c r="M81" s="96"/>
      <c r="N81" s="96"/>
      <c r="O81" s="96"/>
      <c r="P81" s="115"/>
      <c r="Q81" s="116"/>
      <c r="R81" s="2"/>
    </row>
    <row r="82" spans="3:18" ht="33" customHeight="1" x14ac:dyDescent="0.25">
      <c r="C82" s="446" t="s">
        <v>453</v>
      </c>
      <c r="D82" s="446"/>
      <c r="E82" s="446"/>
      <c r="F82" s="446"/>
      <c r="G82" s="446"/>
      <c r="H82" s="446"/>
      <c r="I82" s="446"/>
      <c r="J82" s="446"/>
      <c r="K82" s="446"/>
      <c r="L82" s="446"/>
      <c r="M82" s="446"/>
      <c r="N82" s="446"/>
      <c r="O82" s="203"/>
      <c r="P82" s="203"/>
      <c r="Q82" s="203"/>
      <c r="R82" s="2"/>
    </row>
    <row r="84" spans="3:18" ht="32.25" customHeight="1" x14ac:dyDescent="0.25">
      <c r="C84" s="446" t="s">
        <v>454</v>
      </c>
      <c r="D84" s="446"/>
      <c r="E84" s="446"/>
      <c r="F84" s="446"/>
      <c r="G84" s="446"/>
      <c r="H84" s="446"/>
      <c r="I84" s="446"/>
      <c r="J84" s="446"/>
      <c r="K84" s="446"/>
      <c r="L84" s="446"/>
      <c r="M84" s="446"/>
      <c r="N84" s="446"/>
    </row>
    <row r="86" spans="3:18" ht="29.25" customHeight="1" x14ac:dyDescent="0.25">
      <c r="C86" s="446" t="s">
        <v>455</v>
      </c>
      <c r="D86" s="446"/>
      <c r="E86" s="446"/>
      <c r="F86" s="446"/>
      <c r="G86" s="446"/>
      <c r="H86" s="446"/>
      <c r="I86" s="446"/>
      <c r="J86" s="446"/>
      <c r="K86" s="446"/>
      <c r="L86" s="446"/>
      <c r="M86" s="446"/>
      <c r="N86" s="446"/>
    </row>
  </sheetData>
  <sheetProtection formatCells="0" insertRows="0" deleteRows="0"/>
  <protectedRanges>
    <protectedRange sqref="N4" name="Range5"/>
    <protectedRange sqref="D4:E4 M4 O4" name="Range4"/>
    <protectedRange sqref="A36:C36 H36:J36 A50:C64 H50:J62 B65:C65 I63:I65 L36 F36 L43:L62 F43:F62" name="Range3"/>
    <protectedRange sqref="A2:C2" name="Range1"/>
    <protectedRange sqref="D36:E36 K36 O36 O50:O65 K50:K65 D50:E65 F63:F65 H63:H65 J63:J65 L63:L65 N63:N64 M36 G36 M43:M65 G43:G65 O9:O32" name="Range2"/>
    <protectedRange sqref="R10" name="Range6"/>
    <protectedRange sqref="R12:R13" name="Range7"/>
    <protectedRange sqref="A43:C49" name="Range3_1"/>
    <protectedRange sqref="O43:O49 M43:M49" name="Range2_1"/>
    <protectedRange sqref="H43:J49 L43:L49 F43:F49" name="Range3_1_1"/>
    <protectedRange sqref="G43:G49 K43:K49 D43:E49" name="Range2_2"/>
    <protectedRange sqref="A65" name="Range3_2"/>
    <protectedRange sqref="B15:C32 M10:M32" name="Range8"/>
    <protectedRange sqref="M37" name="Range9"/>
    <protectedRange sqref="B10:C14" name="Range8_1"/>
  </protectedRanges>
  <customSheetViews>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3"/>
      <headerFooter alignWithMargins="0">
        <oddFooter>&amp;LSchedule E-2&amp;C&amp;A&amp;RUpdated: &amp;D</oddFooter>
      </headerFooter>
    </customSheetView>
  </customSheetViews>
  <mergeCells count="9">
    <mergeCell ref="C84:N84"/>
    <mergeCell ref="C86:N86"/>
    <mergeCell ref="A2:B2"/>
    <mergeCell ref="C82:N82"/>
    <mergeCell ref="C72:N72"/>
    <mergeCell ref="C76:N76"/>
    <mergeCell ref="C80:N80"/>
    <mergeCell ref="C74:N74"/>
    <mergeCell ref="C78:N78"/>
  </mergeCells>
  <phoneticPr fontId="7" type="noConversion"/>
  <printOptions horizontalCentered="1" headings="1"/>
  <pageMargins left="0.5" right="0.5" top="0.75" bottom="0.5" header="0.5" footer="0.5"/>
  <pageSetup scale="50" fitToHeight="6" orientation="portrait" r:id="rId4"/>
  <headerFooter alignWithMargins="0">
    <oddFooter>&amp;L&amp;F&amp;C&amp;A&amp;RUpdated: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4"/>
  <sheetViews>
    <sheetView zoomScaleNormal="100" workbookViewId="0">
      <pane ySplit="4" topLeftCell="A5" activePane="bottomLeft" state="frozen"/>
      <selection pane="bottomLeft" activeCell="A2" sqref="A2"/>
    </sheetView>
  </sheetViews>
  <sheetFormatPr defaultColWidth="9.140625" defaultRowHeight="15" x14ac:dyDescent="0.25"/>
  <cols>
    <col min="1" max="1" width="11.5703125" style="2" customWidth="1"/>
    <col min="2" max="2" width="39.140625" style="2" customWidth="1"/>
    <col min="3" max="3" width="12.7109375" style="2" customWidth="1"/>
    <col min="4" max="4" width="14.28515625" style="2" customWidth="1"/>
    <col min="5" max="5" width="15.7109375" style="2" customWidth="1"/>
    <col min="6" max="6" width="10.28515625" style="2" bestFit="1" customWidth="1"/>
    <col min="7" max="7" width="3.42578125" style="2" customWidth="1"/>
    <col min="8" max="8" width="9.42578125" style="2" customWidth="1"/>
    <col min="9" max="9" width="16.5703125" style="2" customWidth="1"/>
    <col min="10" max="10" width="9.140625" style="2"/>
    <col min="11" max="12" width="14.28515625" style="2" customWidth="1"/>
    <col min="13" max="16384" width="9.140625" style="2"/>
  </cols>
  <sheetData>
    <row r="1" spans="1:15" ht="18.75" x14ac:dyDescent="0.3">
      <c r="A1" s="421" t="str">
        <f>'start here-do not delete'!D29</f>
        <v>Sample Tribe</v>
      </c>
      <c r="B1" s="421"/>
      <c r="L1" s="373" t="s">
        <v>124</v>
      </c>
    </row>
    <row r="3" spans="1:15" s="21" customFormat="1" ht="16.5" thickBot="1" x14ac:dyDescent="0.3">
      <c r="A3" s="379" t="str">
        <f>'start here-do not delete'!D31</f>
        <v>FY 2022</v>
      </c>
      <c r="B3" s="379" t="s">
        <v>406</v>
      </c>
      <c r="C3" s="380"/>
      <c r="D3" s="380"/>
      <c r="E3" s="380"/>
      <c r="F3" s="380"/>
      <c r="G3" s="381"/>
      <c r="H3" s="379" t="str">
        <f>A3</f>
        <v>FY 2022</v>
      </c>
      <c r="I3" s="379" t="s">
        <v>474</v>
      </c>
      <c r="J3" s="380"/>
      <c r="K3" s="380"/>
      <c r="L3" s="380"/>
      <c r="M3" s="394"/>
      <c r="N3" s="394"/>
      <c r="O3" s="394"/>
    </row>
    <row r="4" spans="1:15" x14ac:dyDescent="0.25">
      <c r="A4" s="34"/>
      <c r="G4" s="377"/>
    </row>
    <row r="5" spans="1:15" x14ac:dyDescent="0.25">
      <c r="A5" s="34"/>
      <c r="G5" s="377"/>
    </row>
    <row r="6" spans="1:15" ht="15.75" x14ac:dyDescent="0.25">
      <c r="A6" s="362" t="s">
        <v>114</v>
      </c>
      <c r="G6" s="377"/>
      <c r="H6" s="383"/>
    </row>
    <row r="7" spans="1:15" ht="15.75" x14ac:dyDescent="0.25">
      <c r="G7" s="377"/>
      <c r="H7" s="383"/>
    </row>
    <row r="8" spans="1:15" ht="15.75" x14ac:dyDescent="0.25">
      <c r="E8" s="2" t="s">
        <v>73</v>
      </c>
      <c r="G8" s="377"/>
      <c r="H8" s="383"/>
      <c r="L8" s="2" t="s">
        <v>73</v>
      </c>
    </row>
    <row r="9" spans="1:15" x14ac:dyDescent="0.25">
      <c r="A9" s="2" t="s">
        <v>74</v>
      </c>
      <c r="D9" s="56"/>
      <c r="E9" s="56" t="s">
        <v>111</v>
      </c>
      <c r="G9" s="377"/>
      <c r="H9" s="29"/>
      <c r="I9" s="29"/>
      <c r="J9" s="29"/>
      <c r="K9" s="56"/>
      <c r="L9" s="56" t="s">
        <v>111</v>
      </c>
      <c r="N9" s="29"/>
    </row>
    <row r="10" spans="1:15" x14ac:dyDescent="0.25">
      <c r="G10" s="377"/>
      <c r="H10" s="29"/>
      <c r="I10" s="29"/>
      <c r="J10" s="29"/>
      <c r="N10" s="29"/>
    </row>
    <row r="11" spans="1:15" x14ac:dyDescent="0.25">
      <c r="B11" s="2" t="s">
        <v>233</v>
      </c>
      <c r="D11" s="273">
        <v>21408076</v>
      </c>
      <c r="E11" s="2" t="s">
        <v>532</v>
      </c>
      <c r="G11" s="377"/>
      <c r="H11" s="384" t="s">
        <v>322</v>
      </c>
      <c r="K11" s="385">
        <v>16363126</v>
      </c>
      <c r="L11" s="386" t="s">
        <v>535</v>
      </c>
      <c r="N11" s="29"/>
    </row>
    <row r="12" spans="1:15" x14ac:dyDescent="0.25">
      <c r="B12" s="2" t="s">
        <v>234</v>
      </c>
      <c r="D12" s="271">
        <v>11842440</v>
      </c>
      <c r="E12" s="2" t="s">
        <v>533</v>
      </c>
      <c r="G12" s="377"/>
      <c r="H12" s="29"/>
      <c r="K12" s="29"/>
      <c r="L12" s="29"/>
      <c r="N12" s="29"/>
    </row>
    <row r="13" spans="1:15" x14ac:dyDescent="0.25">
      <c r="B13" s="2" t="s">
        <v>235</v>
      </c>
      <c r="D13" s="271">
        <v>2205282</v>
      </c>
      <c r="E13" s="2" t="s">
        <v>534</v>
      </c>
      <c r="G13" s="377"/>
      <c r="H13" s="384" t="s">
        <v>323</v>
      </c>
      <c r="K13" s="385">
        <f>'Exh C actual base'!J165</f>
        <v>16363126</v>
      </c>
      <c r="L13" s="387" t="s">
        <v>220</v>
      </c>
    </row>
    <row r="14" spans="1:15" x14ac:dyDescent="0.25">
      <c r="B14" s="2" t="s">
        <v>236</v>
      </c>
      <c r="D14" s="271"/>
      <c r="E14" s="2" t="s">
        <v>198</v>
      </c>
      <c r="G14" s="377"/>
      <c r="H14" s="29"/>
      <c r="K14" s="29"/>
      <c r="L14" s="29"/>
    </row>
    <row r="15" spans="1:15" ht="15.75" thickBot="1" x14ac:dyDescent="0.3">
      <c r="D15" s="267"/>
      <c r="E15" s="29"/>
      <c r="G15" s="377"/>
      <c r="H15" s="29"/>
      <c r="I15" s="395" t="s">
        <v>473</v>
      </c>
      <c r="K15" s="285">
        <f>K11-K13</f>
        <v>0</v>
      </c>
      <c r="L15" s="388" t="s">
        <v>86</v>
      </c>
    </row>
    <row r="16" spans="1:15" ht="16.5" thickTop="1" thickBot="1" x14ac:dyDescent="0.3">
      <c r="B16" s="2" t="s">
        <v>75</v>
      </c>
      <c r="D16" s="286">
        <f>SUM(D11:D15)</f>
        <v>35455798</v>
      </c>
      <c r="E16" s="71" t="s">
        <v>171</v>
      </c>
      <c r="G16" s="377"/>
      <c r="H16" s="29"/>
      <c r="I16" s="29"/>
      <c r="J16" s="29"/>
    </row>
    <row r="17" spans="1:11" ht="15.75" thickTop="1" x14ac:dyDescent="0.25">
      <c r="G17" s="377"/>
      <c r="H17" s="29"/>
      <c r="I17" s="29"/>
      <c r="J17" s="29"/>
      <c r="K17" s="29"/>
    </row>
    <row r="18" spans="1:11" x14ac:dyDescent="0.25">
      <c r="G18" s="377"/>
      <c r="H18" s="29"/>
      <c r="I18" s="29"/>
      <c r="J18" s="29"/>
      <c r="K18" s="29"/>
    </row>
    <row r="19" spans="1:11" x14ac:dyDescent="0.25">
      <c r="A19" s="2" t="s">
        <v>131</v>
      </c>
      <c r="G19" s="377"/>
      <c r="H19" s="41" t="s">
        <v>475</v>
      </c>
    </row>
    <row r="20" spans="1:11" x14ac:dyDescent="0.25">
      <c r="G20" s="377"/>
    </row>
    <row r="21" spans="1:11" x14ac:dyDescent="0.25">
      <c r="B21" s="2" t="s">
        <v>76</v>
      </c>
      <c r="D21" s="112">
        <f>'Exh C actual base'!Z195+'Exh C actual base'!AB195+'Exh C actual base'!AD195</f>
        <v>15452469.639999999</v>
      </c>
      <c r="E21" s="2" t="s">
        <v>220</v>
      </c>
      <c r="G21" s="377"/>
    </row>
    <row r="22" spans="1:11" x14ac:dyDescent="0.25">
      <c r="B22" s="2" t="s">
        <v>132</v>
      </c>
      <c r="D22" s="265">
        <f>'Exh E-1 actual pool'!N67</f>
        <v>1887808</v>
      </c>
      <c r="E22" s="2" t="s">
        <v>219</v>
      </c>
      <c r="G22" s="377"/>
      <c r="I22" s="389"/>
      <c r="J22" s="390"/>
      <c r="K22" s="391"/>
    </row>
    <row r="23" spans="1:11" x14ac:dyDescent="0.25">
      <c r="D23" s="268"/>
      <c r="E23" s="29"/>
      <c r="G23" s="377"/>
      <c r="I23" s="392"/>
      <c r="J23" s="392"/>
      <c r="K23" s="387"/>
    </row>
    <row r="24" spans="1:11" x14ac:dyDescent="0.25">
      <c r="A24" s="2" t="s">
        <v>96</v>
      </c>
      <c r="D24" s="265">
        <f>'Exh C actual base'!L195</f>
        <v>1474486</v>
      </c>
      <c r="E24" s="2" t="s">
        <v>220</v>
      </c>
      <c r="G24" s="377"/>
      <c r="I24" s="29"/>
      <c r="J24" s="29"/>
      <c r="K24" s="29"/>
    </row>
    <row r="25" spans="1:11" x14ac:dyDescent="0.25">
      <c r="A25" s="2" t="s">
        <v>77</v>
      </c>
      <c r="D25" s="265">
        <f>'Exh C actual base'!N195</f>
        <v>2086398</v>
      </c>
      <c r="E25" s="2" t="s">
        <v>220</v>
      </c>
      <c r="G25" s="377"/>
      <c r="I25" s="387"/>
      <c r="J25" s="387"/>
      <c r="K25" s="387"/>
    </row>
    <row r="26" spans="1:11" x14ac:dyDescent="0.25">
      <c r="A26" s="2" t="s">
        <v>183</v>
      </c>
      <c r="D26" s="265">
        <f>'Exh C actual base'!R195-D30</f>
        <v>919251</v>
      </c>
      <c r="E26" s="2" t="s">
        <v>220</v>
      </c>
      <c r="G26" s="377"/>
      <c r="I26" s="29"/>
      <c r="J26" s="29"/>
      <c r="K26" s="29"/>
    </row>
    <row r="27" spans="1:11" x14ac:dyDescent="0.25">
      <c r="A27" s="2" t="s">
        <v>78</v>
      </c>
      <c r="D27" s="265">
        <f>'Exh C actual base'!T195</f>
        <v>44307</v>
      </c>
      <c r="E27" s="2" t="s">
        <v>220</v>
      </c>
      <c r="G27" s="377"/>
      <c r="I27" s="384"/>
      <c r="J27" s="385"/>
      <c r="K27" s="387"/>
    </row>
    <row r="28" spans="1:11" ht="15" customHeight="1" x14ac:dyDescent="0.25">
      <c r="A28" s="2" t="s">
        <v>169</v>
      </c>
      <c r="D28" s="265">
        <f>'Exh C actual base'!V195</f>
        <v>172282</v>
      </c>
      <c r="E28" s="2" t="s">
        <v>220</v>
      </c>
      <c r="G28" s="378"/>
      <c r="I28" s="384"/>
      <c r="J28" s="385"/>
      <c r="K28" s="387"/>
    </row>
    <row r="29" spans="1:11" ht="15" customHeight="1" x14ac:dyDescent="0.25">
      <c r="A29" s="2" t="s">
        <v>164</v>
      </c>
      <c r="D29" s="265">
        <f>'Exh C actual base'!X195</f>
        <v>1802275.36</v>
      </c>
      <c r="E29" s="2" t="s">
        <v>220</v>
      </c>
      <c r="G29" s="378"/>
      <c r="I29" s="29"/>
      <c r="J29" s="29"/>
      <c r="K29" s="29"/>
    </row>
    <row r="30" spans="1:11" ht="15" customHeight="1" x14ac:dyDescent="0.25">
      <c r="A30" s="2" t="s">
        <v>165</v>
      </c>
      <c r="D30" s="265">
        <f>'Exh C actual base'!R191</f>
        <v>11842440</v>
      </c>
      <c r="E30" s="2" t="s">
        <v>220</v>
      </c>
      <c r="G30" s="378"/>
      <c r="H30" s="376"/>
      <c r="I30" s="393"/>
      <c r="J30" s="385"/>
      <c r="K30" s="387"/>
    </row>
    <row r="31" spans="1:11" ht="15.75" customHeight="1" x14ac:dyDescent="0.25">
      <c r="D31" s="265"/>
      <c r="G31" s="378"/>
      <c r="H31" s="376"/>
      <c r="I31" s="376"/>
      <c r="J31" s="29"/>
      <c r="K31" s="29"/>
    </row>
    <row r="32" spans="1:11" x14ac:dyDescent="0.25">
      <c r="B32" s="2" t="s">
        <v>79</v>
      </c>
      <c r="D32" s="217">
        <f>SUM(D21:D31)</f>
        <v>35681717</v>
      </c>
      <c r="E32" s="29"/>
      <c r="G32" s="377"/>
      <c r="H32" s="376"/>
      <c r="I32" s="376"/>
    </row>
    <row r="33" spans="1:12" x14ac:dyDescent="0.25">
      <c r="G33" s="377"/>
      <c r="H33" s="376"/>
      <c r="I33" s="376"/>
    </row>
    <row r="34" spans="1:12" ht="15.75" thickBot="1" x14ac:dyDescent="0.3">
      <c r="B34" s="2" t="s">
        <v>116</v>
      </c>
      <c r="D34" s="110">
        <f>D32-D16</f>
        <v>225919</v>
      </c>
      <c r="E34" s="34" t="s">
        <v>170</v>
      </c>
      <c r="G34" s="377"/>
    </row>
    <row r="35" spans="1:12" ht="15.75" thickTop="1" x14ac:dyDescent="0.25">
      <c r="G35" s="377"/>
    </row>
    <row r="36" spans="1:12" x14ac:dyDescent="0.25">
      <c r="G36" s="377"/>
    </row>
    <row r="37" spans="1:12" x14ac:dyDescent="0.25">
      <c r="A37" s="41" t="s">
        <v>456</v>
      </c>
      <c r="B37" s="41"/>
      <c r="C37" s="41"/>
      <c r="D37" s="41"/>
      <c r="G37" s="377"/>
    </row>
    <row r="38" spans="1:12" x14ac:dyDescent="0.25">
      <c r="A38" s="41"/>
      <c r="B38" s="41"/>
      <c r="C38" s="41"/>
      <c r="D38" s="41"/>
      <c r="G38" s="377"/>
    </row>
    <row r="39" spans="1:12" x14ac:dyDescent="0.25">
      <c r="A39" s="41" t="s">
        <v>457</v>
      </c>
      <c r="B39" s="41"/>
      <c r="C39" s="41"/>
      <c r="D39" s="41"/>
      <c r="G39" s="377"/>
    </row>
    <row r="40" spans="1:12" ht="15.75" thickBot="1" x14ac:dyDescent="0.3">
      <c r="A40" s="41"/>
      <c r="B40" s="41" t="s">
        <v>40</v>
      </c>
      <c r="C40" s="41"/>
      <c r="D40" s="413">
        <f>'Exh E-1 actual pool'!D65</f>
        <v>225919</v>
      </c>
      <c r="G40" s="377"/>
    </row>
    <row r="41" spans="1:12" ht="15.75" thickTop="1" x14ac:dyDescent="0.25">
      <c r="A41" s="77"/>
      <c r="B41" s="41"/>
      <c r="C41" s="41"/>
      <c r="G41" s="377"/>
    </row>
    <row r="42" spans="1:12" x14ac:dyDescent="0.25">
      <c r="A42" s="77"/>
      <c r="B42" s="41"/>
      <c r="C42" s="41"/>
      <c r="G42" s="377"/>
    </row>
    <row r="43" spans="1:12" x14ac:dyDescent="0.25">
      <c r="A43" s="372"/>
      <c r="B43" s="371"/>
      <c r="C43" s="371"/>
      <c r="D43" s="257"/>
      <c r="E43" s="257"/>
      <c r="F43" s="257"/>
      <c r="G43" s="377"/>
    </row>
    <row r="44" spans="1:12" s="21" customFormat="1" ht="16.5" thickBot="1" x14ac:dyDescent="0.3">
      <c r="A44" s="379" t="str">
        <f>'start here-do not delete'!D31</f>
        <v>FY 2022</v>
      </c>
      <c r="B44" s="379" t="s">
        <v>314</v>
      </c>
      <c r="C44" s="382"/>
      <c r="D44" s="380"/>
      <c r="E44" s="380"/>
      <c r="F44" s="380"/>
      <c r="G44" s="381"/>
      <c r="H44" s="2"/>
      <c r="I44" s="2"/>
      <c r="J44" s="2"/>
      <c r="K44" s="2"/>
      <c r="L44" s="2"/>
    </row>
    <row r="45" spans="1:12" x14ac:dyDescent="0.25">
      <c r="A45" s="257"/>
      <c r="B45" s="257"/>
      <c r="C45" s="257"/>
      <c r="D45" s="257"/>
      <c r="E45" s="257"/>
      <c r="F45" s="257"/>
      <c r="G45" s="377"/>
    </row>
    <row r="46" spans="1:12" ht="15.75" x14ac:dyDescent="0.25">
      <c r="A46" s="257"/>
      <c r="B46" s="257"/>
      <c r="C46" s="257"/>
      <c r="D46" s="257"/>
      <c r="F46" s="257" t="s">
        <v>73</v>
      </c>
      <c r="G46" s="377"/>
      <c r="H46" s="21"/>
      <c r="I46" s="21"/>
      <c r="J46" s="21"/>
      <c r="K46" s="21"/>
      <c r="L46" s="21"/>
    </row>
    <row r="47" spans="1:12" x14ac:dyDescent="0.25">
      <c r="A47" s="257"/>
      <c r="B47" s="257"/>
      <c r="C47" s="257"/>
      <c r="D47" s="396" t="s">
        <v>305</v>
      </c>
      <c r="E47" s="397" t="s">
        <v>306</v>
      </c>
      <c r="F47" s="258" t="s">
        <v>111</v>
      </c>
      <c r="G47" s="377"/>
    </row>
    <row r="48" spans="1:12" x14ac:dyDescent="0.25">
      <c r="A48" s="257" t="s">
        <v>313</v>
      </c>
      <c r="B48" s="257"/>
      <c r="C48" s="257"/>
      <c r="F48" s="257"/>
      <c r="G48" s="377"/>
    </row>
    <row r="49" spans="1:7" x14ac:dyDescent="0.25">
      <c r="A49" s="257"/>
      <c r="B49" s="257"/>
      <c r="C49" s="257"/>
      <c r="D49" s="257"/>
      <c r="F49" s="257"/>
      <c r="G49" s="377"/>
    </row>
    <row r="50" spans="1:7" x14ac:dyDescent="0.25">
      <c r="A50" s="257"/>
      <c r="B50" s="257" t="s">
        <v>315</v>
      </c>
      <c r="C50" s="257"/>
      <c r="D50" s="183">
        <f>'Exh C actual base'!Z195</f>
        <v>4128315</v>
      </c>
      <c r="E50" s="183">
        <f>'Exh C actual base'!AB195</f>
        <v>1362345.1074999999</v>
      </c>
      <c r="F50" s="257" t="s">
        <v>532</v>
      </c>
      <c r="G50" s="377"/>
    </row>
    <row r="51" spans="1:7" x14ac:dyDescent="0.25">
      <c r="A51" s="257"/>
      <c r="B51" s="257" t="s">
        <v>316</v>
      </c>
      <c r="C51" s="257"/>
      <c r="D51" s="163">
        <f>'Exh C actual base'!Z205</f>
        <v>2295357.75</v>
      </c>
      <c r="E51" s="163">
        <f>'Exh C actual base'!AB205</f>
        <v>757468.0575</v>
      </c>
      <c r="F51" s="257" t="s">
        <v>533</v>
      </c>
      <c r="G51" s="377"/>
    </row>
    <row r="52" spans="1:7" x14ac:dyDescent="0.25">
      <c r="A52" s="257"/>
      <c r="B52" s="257" t="s">
        <v>317</v>
      </c>
      <c r="C52" s="257"/>
      <c r="D52" s="163">
        <f>787787+25000</f>
        <v>812787</v>
      </c>
      <c r="E52" s="163">
        <f>259969+8250</f>
        <v>268219</v>
      </c>
      <c r="F52" s="257" t="s">
        <v>534</v>
      </c>
      <c r="G52" s="377"/>
    </row>
    <row r="53" spans="1:7" x14ac:dyDescent="0.25">
      <c r="A53" s="257"/>
      <c r="B53" s="257" t="s">
        <v>318</v>
      </c>
      <c r="C53" s="257"/>
      <c r="D53" s="163">
        <v>0</v>
      </c>
      <c r="E53" s="163">
        <v>0</v>
      </c>
      <c r="F53" s="257" t="s">
        <v>198</v>
      </c>
      <c r="G53" s="377"/>
    </row>
    <row r="54" spans="1:7" x14ac:dyDescent="0.25">
      <c r="A54" s="257"/>
      <c r="B54" s="257"/>
      <c r="C54" s="257"/>
      <c r="D54" s="163"/>
      <c r="E54" s="265"/>
      <c r="F54" s="257"/>
      <c r="G54" s="377"/>
    </row>
    <row r="55" spans="1:7" ht="15.75" thickBot="1" x14ac:dyDescent="0.3">
      <c r="A55" s="257"/>
      <c r="B55" s="257" t="s">
        <v>389</v>
      </c>
      <c r="C55" s="257"/>
      <c r="D55" s="285">
        <f>SUM(D50:D54)</f>
        <v>7236459.75</v>
      </c>
      <c r="E55" s="285">
        <f>SUM(E50:E54)</f>
        <v>2388032.165</v>
      </c>
      <c r="F55" s="363" t="s">
        <v>24</v>
      </c>
      <c r="G55" s="377"/>
    </row>
    <row r="56" spans="1:7" ht="15.75" thickTop="1" x14ac:dyDescent="0.25">
      <c r="A56" s="257"/>
      <c r="B56" s="257"/>
      <c r="C56" s="257"/>
      <c r="D56" s="257"/>
      <c r="F56" s="257"/>
      <c r="G56" s="377"/>
    </row>
    <row r="57" spans="1:7" x14ac:dyDescent="0.25">
      <c r="A57" s="2" t="s">
        <v>131</v>
      </c>
      <c r="B57" s="257"/>
      <c r="C57" s="257"/>
      <c r="D57" s="257"/>
      <c r="F57" s="257"/>
      <c r="G57" s="377"/>
    </row>
    <row r="58" spans="1:7" x14ac:dyDescent="0.25">
      <c r="A58" s="257"/>
      <c r="B58" s="257"/>
      <c r="C58" s="257"/>
      <c r="D58" s="257"/>
      <c r="F58" s="257"/>
      <c r="G58" s="377"/>
    </row>
    <row r="59" spans="1:7" x14ac:dyDescent="0.25">
      <c r="A59" s="372"/>
      <c r="B59" s="371" t="s">
        <v>319</v>
      </c>
      <c r="C59" s="371"/>
      <c r="D59" s="183">
        <f>'Exh C actual base'!Z195</f>
        <v>4128315</v>
      </c>
      <c r="E59" s="183">
        <f>'Exh C actual base'!AB195</f>
        <v>1362345.1074999999</v>
      </c>
      <c r="F59" s="257" t="s">
        <v>123</v>
      </c>
      <c r="G59" s="377"/>
    </row>
    <row r="60" spans="1:7" x14ac:dyDescent="0.25">
      <c r="A60" s="257"/>
      <c r="B60" s="257" t="s">
        <v>458</v>
      </c>
      <c r="C60" s="257"/>
      <c r="D60" s="163">
        <f>'Exh C actual base'!Z205</f>
        <v>2295357.75</v>
      </c>
      <c r="E60" s="163">
        <f>'Exh C actual base'!AB205</f>
        <v>757468.0575</v>
      </c>
      <c r="F60" s="257" t="s">
        <v>123</v>
      </c>
      <c r="G60" s="377"/>
    </row>
    <row r="61" spans="1:7" x14ac:dyDescent="0.25">
      <c r="A61" s="257"/>
      <c r="B61" s="257" t="s">
        <v>320</v>
      </c>
      <c r="C61" s="257"/>
      <c r="D61" s="163">
        <f>'Exh E-1 actual pool'!N34</f>
        <v>787787</v>
      </c>
      <c r="E61" s="163">
        <f>'Exh E-1 actual pool'!N36</f>
        <v>259969</v>
      </c>
      <c r="F61" s="257" t="s">
        <v>120</v>
      </c>
      <c r="G61" s="377"/>
    </row>
    <row r="62" spans="1:7" x14ac:dyDescent="0.25">
      <c r="A62" s="257"/>
      <c r="B62" s="257" t="s">
        <v>459</v>
      </c>
      <c r="C62" s="257"/>
      <c r="D62" s="163">
        <f>'Exh E-1 actual pool'!F34+'Exh E-1 actual pool'!H34</f>
        <v>25000</v>
      </c>
      <c r="E62" s="163">
        <f>'Exh E-1 actual pool'!F36+'Exh E-1 actual pool'!H36</f>
        <v>8250</v>
      </c>
      <c r="F62" s="257" t="s">
        <v>120</v>
      </c>
      <c r="G62" s="377"/>
    </row>
    <row r="63" spans="1:7" x14ac:dyDescent="0.25">
      <c r="A63" s="257"/>
      <c r="B63" s="257"/>
      <c r="C63" s="257"/>
      <c r="D63" s="163"/>
      <c r="E63" s="163"/>
      <c r="G63" s="377"/>
    </row>
    <row r="64" spans="1:7" ht="15.75" thickBot="1" x14ac:dyDescent="0.3">
      <c r="A64" s="257"/>
      <c r="B64" s="257" t="s">
        <v>390</v>
      </c>
      <c r="C64" s="257"/>
      <c r="D64" s="285">
        <f>SUM(D59:D63)</f>
        <v>7236459.75</v>
      </c>
      <c r="E64" s="285">
        <f>SUM(E59:E63)</f>
        <v>2388032.165</v>
      </c>
      <c r="G64" s="377"/>
    </row>
    <row r="65" spans="1:7" ht="15.75" thickTop="1" x14ac:dyDescent="0.25">
      <c r="A65" s="257"/>
      <c r="B65" s="257"/>
      <c r="C65" s="257"/>
      <c r="D65" s="257"/>
      <c r="E65" s="257"/>
      <c r="G65" s="377"/>
    </row>
    <row r="66" spans="1:7" ht="15.75" thickBot="1" x14ac:dyDescent="0.3">
      <c r="A66" s="257"/>
      <c r="B66" s="257" t="s">
        <v>116</v>
      </c>
      <c r="C66" s="257"/>
      <c r="D66" s="284">
        <f>D55-D64</f>
        <v>0</v>
      </c>
      <c r="E66" s="284">
        <f>E55-E64</f>
        <v>0</v>
      </c>
      <c r="F66" s="363" t="s">
        <v>55</v>
      </c>
      <c r="G66" s="377"/>
    </row>
    <row r="67" spans="1:7" ht="15.75" thickTop="1" x14ac:dyDescent="0.25">
      <c r="A67" s="257"/>
      <c r="B67" s="257"/>
      <c r="C67" s="257"/>
      <c r="D67" s="257"/>
      <c r="E67" s="257"/>
      <c r="G67" s="377"/>
    </row>
    <row r="68" spans="1:7" x14ac:dyDescent="0.25">
      <c r="A68" s="449" t="s">
        <v>460</v>
      </c>
      <c r="B68" s="449"/>
      <c r="C68" s="449"/>
      <c r="D68" s="371"/>
      <c r="E68" s="257"/>
      <c r="F68" s="257"/>
      <c r="G68" s="377"/>
    </row>
    <row r="69" spans="1:7" x14ac:dyDescent="0.25">
      <c r="A69" s="371"/>
      <c r="B69" s="371"/>
      <c r="C69" s="371"/>
      <c r="D69" s="371"/>
      <c r="E69" s="257"/>
      <c r="F69" s="257"/>
      <c r="G69" s="377"/>
    </row>
    <row r="70" spans="1:7" x14ac:dyDescent="0.25">
      <c r="A70" s="450" t="s">
        <v>461</v>
      </c>
      <c r="B70" s="450"/>
      <c r="C70" s="450"/>
      <c r="D70" s="450"/>
      <c r="E70" s="257"/>
      <c r="F70" s="257"/>
      <c r="G70" s="377"/>
    </row>
    <row r="71" spans="1:7" x14ac:dyDescent="0.25">
      <c r="A71" s="417"/>
      <c r="B71" s="418" t="s">
        <v>543</v>
      </c>
      <c r="C71" s="418"/>
      <c r="D71" s="418">
        <v>2295358</v>
      </c>
      <c r="E71" s="257"/>
      <c r="F71" s="257"/>
      <c r="G71" s="377"/>
    </row>
    <row r="72" spans="1:7" x14ac:dyDescent="0.25">
      <c r="A72" s="417"/>
      <c r="B72" s="418" t="s">
        <v>169</v>
      </c>
      <c r="C72" s="418"/>
      <c r="D72" s="418">
        <v>25000</v>
      </c>
      <c r="E72" s="257"/>
      <c r="F72" s="257"/>
      <c r="G72" s="377"/>
    </row>
    <row r="73" spans="1:7" x14ac:dyDescent="0.25">
      <c r="A73" s="257"/>
      <c r="B73" s="257"/>
      <c r="C73" s="257"/>
      <c r="D73" s="257"/>
      <c r="E73" s="257"/>
      <c r="F73" s="257"/>
      <c r="G73" s="377"/>
    </row>
    <row r="74" spans="1:7" x14ac:dyDescent="0.25">
      <c r="A74" s="449" t="s">
        <v>462</v>
      </c>
      <c r="B74" s="449"/>
      <c r="C74" s="449"/>
      <c r="D74" s="257"/>
      <c r="E74" s="257"/>
      <c r="F74" s="257"/>
      <c r="G74" s="377"/>
    </row>
  </sheetData>
  <sheetProtection formatCells="0" insertRows="0" deleteRows="0"/>
  <protectedRanges>
    <protectedRange sqref="D24:D29" name="Range10"/>
    <protectedRange sqref="A4:B4" name="Range8"/>
    <protectedRange sqref="E11:E14" name="Range1"/>
    <protectedRange sqref="E24:E30" name="Range4"/>
    <protectedRange sqref="E21:E22" name="Range5"/>
    <protectedRange sqref="A37" name="Range9_2"/>
    <protectedRange sqref="D14" name="Range1_1"/>
    <protectedRange sqref="B11:B14" name="Range7_1"/>
    <protectedRange sqref="F50:F53" name="Range1_2"/>
    <protectedRange sqref="B50:B58" name="Range7"/>
    <protectedRange sqref="A43" name="Range9_1_1"/>
    <protectedRange sqref="A68" name="Range9_2_1"/>
  </protectedRanges>
  <customSheetViews>
    <customSheetView guid="{96FAF5F8-BD57-4EDE-AC8B-7E6854529246}" fitToPage="1" showRuler="0" topLeftCell="A10">
      <selection activeCell="C34" sqref="C34"/>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55322F06-EF2B-4EBF-91FC-6C830D0D22C9}" fitToPage="1" showRuler="0">
      <selection activeCell="B15" sqref="B15"/>
      <pageMargins left="0.75" right="0.75" top="1" bottom="1" header="0.5" footer="0.5"/>
      <pageSetup orientation="portrait" r:id="rId3"/>
      <headerFooter alignWithMargins="0">
        <oddFooter>&amp;LSchedule F&amp;C&amp;A&amp;RUpdated: &amp;D</oddFooter>
      </headerFooter>
    </customSheetView>
  </customSheetViews>
  <mergeCells count="3">
    <mergeCell ref="A68:C68"/>
    <mergeCell ref="A74:C74"/>
    <mergeCell ref="A70:D70"/>
  </mergeCells>
  <phoneticPr fontId="7" type="noConversion"/>
  <printOptions headings="1"/>
  <pageMargins left="0.5" right="0.5" top="1" bottom="1" header="0.5" footer="0.5"/>
  <pageSetup scale="55"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5" topLeftCell="A20" activePane="bottomLeft" state="frozen"/>
      <selection pane="bottomLeft" activeCell="A2" sqref="A2"/>
    </sheetView>
  </sheetViews>
  <sheetFormatPr defaultColWidth="9.140625" defaultRowHeight="15" x14ac:dyDescent="0.25"/>
  <cols>
    <col min="1" max="1" width="33.42578125" style="41" customWidth="1"/>
    <col min="2" max="2" width="3" style="41" customWidth="1"/>
    <col min="3" max="3" width="13.7109375" style="41" customWidth="1"/>
    <col min="4" max="4" width="3.28515625" style="41" customWidth="1"/>
    <col min="5" max="5" width="13.7109375" style="41" customWidth="1"/>
    <col min="6" max="6" width="2.7109375" style="41" customWidth="1"/>
    <col min="7" max="7" width="14.7109375" style="41" bestFit="1" customWidth="1"/>
    <col min="8" max="8" width="2.140625" style="41" customWidth="1"/>
    <col min="9" max="9" width="13.28515625" style="41" bestFit="1" customWidth="1"/>
    <col min="10" max="16384" width="9.140625" style="41"/>
  </cols>
  <sheetData>
    <row r="1" spans="1:9" ht="18.75" x14ac:dyDescent="0.3">
      <c r="A1" s="130" t="str">
        <f>'start here-do not delete'!D29</f>
        <v>Sample Tribe</v>
      </c>
      <c r="B1" s="77"/>
      <c r="I1" s="131" t="s">
        <v>184</v>
      </c>
    </row>
    <row r="2" spans="1:9" x14ac:dyDescent="0.25">
      <c r="A2" s="202" t="s">
        <v>464</v>
      </c>
      <c r="B2" s="77"/>
    </row>
    <row r="3" spans="1:9" x14ac:dyDescent="0.25">
      <c r="A3" s="77"/>
      <c r="B3" s="77"/>
      <c r="H3" s="212"/>
    </row>
    <row r="4" spans="1:9" ht="19.5" thickBot="1" x14ac:dyDescent="0.35">
      <c r="A4" s="132" t="s">
        <v>193</v>
      </c>
      <c r="B4" s="132"/>
      <c r="C4" s="133"/>
      <c r="D4" s="133"/>
      <c r="E4" s="453" t="str">
        <f>'start here-do not delete'!D31</f>
        <v>FY 2022</v>
      </c>
      <c r="F4" s="454"/>
      <c r="G4" s="454"/>
      <c r="H4" s="213"/>
      <c r="I4" s="134" t="str">
        <f>'start here-do not delete'!D32</f>
        <v>FY 2025</v>
      </c>
    </row>
    <row r="5" spans="1:9" x14ac:dyDescent="0.25">
      <c r="H5" s="212"/>
    </row>
    <row r="6" spans="1:9" s="43" customFormat="1" x14ac:dyDescent="0.25">
      <c r="H6" s="214"/>
    </row>
    <row r="7" spans="1:9" s="43" customFormat="1" x14ac:dyDescent="0.25">
      <c r="C7" s="43" t="s">
        <v>40</v>
      </c>
      <c r="H7" s="214"/>
    </row>
    <row r="8" spans="1:9" s="43" customFormat="1" ht="15.75" thickBot="1" x14ac:dyDescent="0.3">
      <c r="A8" s="215" t="s">
        <v>253</v>
      </c>
      <c r="B8" s="44"/>
      <c r="C8" s="44" t="s">
        <v>155</v>
      </c>
      <c r="D8" s="44"/>
      <c r="E8" s="44" t="s">
        <v>97</v>
      </c>
      <c r="F8" s="44"/>
      <c r="G8" s="44" t="s">
        <v>0</v>
      </c>
      <c r="H8" s="214"/>
      <c r="I8" s="44" t="s">
        <v>0</v>
      </c>
    </row>
    <row r="9" spans="1:9" x14ac:dyDescent="0.25">
      <c r="H9" s="212"/>
    </row>
    <row r="10" spans="1:9" x14ac:dyDescent="0.25">
      <c r="A10" s="77" t="s">
        <v>106</v>
      </c>
      <c r="B10" s="135" t="s">
        <v>11</v>
      </c>
      <c r="C10" s="43" t="s">
        <v>180</v>
      </c>
      <c r="H10" s="212"/>
    </row>
    <row r="11" spans="1:9" x14ac:dyDescent="0.25">
      <c r="H11" s="212"/>
    </row>
    <row r="12" spans="1:9" x14ac:dyDescent="0.25">
      <c r="A12" s="77" t="s">
        <v>107</v>
      </c>
      <c r="H12" s="212"/>
    </row>
    <row r="13" spans="1:9" x14ac:dyDescent="0.25">
      <c r="A13" s="41" t="s">
        <v>102</v>
      </c>
      <c r="C13" s="410">
        <v>66667</v>
      </c>
      <c r="E13" s="45"/>
      <c r="F13" s="45"/>
      <c r="G13" s="409">
        <f>C13-E13</f>
        <v>66667</v>
      </c>
      <c r="H13" s="212"/>
      <c r="I13" s="45">
        <v>66667</v>
      </c>
    </row>
    <row r="14" spans="1:9" x14ac:dyDescent="0.25">
      <c r="A14" s="41" t="s">
        <v>105</v>
      </c>
      <c r="C14" s="41">
        <v>4667</v>
      </c>
      <c r="E14" s="45"/>
      <c r="F14" s="45"/>
      <c r="G14" s="45">
        <f t="shared" ref="G14:G16" si="0">C14-E14</f>
        <v>4667</v>
      </c>
      <c r="H14" s="212"/>
      <c r="I14" s="45">
        <v>4667</v>
      </c>
    </row>
    <row r="15" spans="1:9" x14ac:dyDescent="0.25">
      <c r="A15" s="41" t="s">
        <v>103</v>
      </c>
      <c r="C15" s="41">
        <v>12503</v>
      </c>
      <c r="E15" s="409">
        <v>12503</v>
      </c>
      <c r="F15" s="45"/>
      <c r="G15" s="45">
        <f t="shared" si="0"/>
        <v>0</v>
      </c>
      <c r="H15" s="212"/>
      <c r="I15" s="45"/>
    </row>
    <row r="16" spans="1:9" x14ac:dyDescent="0.25">
      <c r="A16" s="41" t="s">
        <v>104</v>
      </c>
      <c r="C16" s="41">
        <v>13333</v>
      </c>
      <c r="E16" s="45">
        <v>13333</v>
      </c>
      <c r="F16" s="45"/>
      <c r="G16" s="45">
        <f t="shared" si="0"/>
        <v>0</v>
      </c>
      <c r="H16" s="212"/>
      <c r="I16" s="45"/>
    </row>
    <row r="17" spans="1:10" x14ac:dyDescent="0.25">
      <c r="E17" s="45"/>
      <c r="F17" s="45"/>
      <c r="G17" s="45"/>
      <c r="H17" s="212"/>
      <c r="I17" s="45"/>
    </row>
    <row r="18" spans="1:10" x14ac:dyDescent="0.25">
      <c r="A18" s="77" t="s">
        <v>108</v>
      </c>
      <c r="B18" s="135" t="s">
        <v>22</v>
      </c>
      <c r="E18" s="45"/>
      <c r="F18" s="45"/>
      <c r="G18" s="45"/>
      <c r="H18" s="212"/>
      <c r="I18" s="45"/>
    </row>
    <row r="19" spans="1:10" x14ac:dyDescent="0.25">
      <c r="A19" s="41" t="s">
        <v>98</v>
      </c>
      <c r="C19" s="41">
        <v>50000</v>
      </c>
      <c r="E19" s="45">
        <v>19414</v>
      </c>
      <c r="F19" s="45"/>
      <c r="G19" s="45">
        <f t="shared" ref="G19:G24" si="1">C19-E19</f>
        <v>30586</v>
      </c>
      <c r="H19" s="212"/>
      <c r="I19" s="45">
        <v>32840</v>
      </c>
    </row>
    <row r="20" spans="1:10" x14ac:dyDescent="0.25">
      <c r="A20" s="41" t="s">
        <v>99</v>
      </c>
      <c r="C20" s="41">
        <v>80000</v>
      </c>
      <c r="E20" s="45"/>
      <c r="F20" s="45"/>
      <c r="G20" s="45">
        <f t="shared" si="1"/>
        <v>80000</v>
      </c>
      <c r="H20" s="212"/>
      <c r="I20" s="45">
        <v>83000</v>
      </c>
    </row>
    <row r="21" spans="1:10" x14ac:dyDescent="0.25">
      <c r="A21" s="41" t="s">
        <v>100</v>
      </c>
      <c r="C21" s="41">
        <v>23666</v>
      </c>
      <c r="E21" s="45"/>
      <c r="F21" s="45"/>
      <c r="G21" s="45">
        <f t="shared" si="1"/>
        <v>23666</v>
      </c>
      <c r="H21" s="212"/>
      <c r="I21" s="45">
        <v>24000</v>
      </c>
    </row>
    <row r="22" spans="1:10" x14ac:dyDescent="0.25">
      <c r="A22" s="41" t="s">
        <v>196</v>
      </c>
      <c r="C22" s="41">
        <v>20333</v>
      </c>
      <c r="E22" s="46"/>
      <c r="F22" s="46"/>
      <c r="G22" s="45">
        <f t="shared" si="1"/>
        <v>20333</v>
      </c>
      <c r="H22" s="212"/>
      <c r="I22" s="46">
        <v>23666</v>
      </c>
    </row>
    <row r="23" spans="1:10" x14ac:dyDescent="0.25">
      <c r="A23" s="41" t="s">
        <v>101</v>
      </c>
      <c r="C23" s="41">
        <v>21785</v>
      </c>
      <c r="E23" s="46">
        <f>C23</f>
        <v>21785</v>
      </c>
      <c r="F23" s="46"/>
      <c r="G23" s="45">
        <f t="shared" si="1"/>
        <v>0</v>
      </c>
      <c r="H23" s="212"/>
      <c r="I23" s="46"/>
    </row>
    <row r="24" spans="1:10" x14ac:dyDescent="0.25">
      <c r="A24" s="41" t="s">
        <v>109</v>
      </c>
      <c r="C24" s="41">
        <v>250000</v>
      </c>
      <c r="E24" s="46">
        <f>C24</f>
        <v>250000</v>
      </c>
      <c r="F24" s="46"/>
      <c r="G24" s="45">
        <f t="shared" si="1"/>
        <v>0</v>
      </c>
      <c r="H24" s="212"/>
      <c r="I24" s="46"/>
    </row>
    <row r="25" spans="1:10" x14ac:dyDescent="0.25">
      <c r="C25" s="137"/>
      <c r="H25" s="212"/>
      <c r="I25" s="46"/>
    </row>
    <row r="26" spans="1:10" ht="15.75" thickBot="1" x14ac:dyDescent="0.3">
      <c r="A26" s="41" t="s">
        <v>5</v>
      </c>
      <c r="B26" s="136"/>
      <c r="C26" s="253">
        <f>SUM(C10:C25)</f>
        <v>542954</v>
      </c>
      <c r="E26" s="253">
        <f>SUM(E10:E25)</f>
        <v>317035</v>
      </c>
      <c r="F26" s="47"/>
      <c r="G26" s="253">
        <f>SUM(G10:G25)</f>
        <v>225919</v>
      </c>
      <c r="H26" s="212"/>
      <c r="I26" s="253">
        <f>SUM(I10:I25)</f>
        <v>234840</v>
      </c>
    </row>
    <row r="27" spans="1:10" ht="15.75" thickTop="1" x14ac:dyDescent="0.25">
      <c r="C27" s="138" t="s">
        <v>24</v>
      </c>
      <c r="G27" s="138" t="s">
        <v>25</v>
      </c>
      <c r="H27" s="211"/>
    </row>
    <row r="28" spans="1:10" x14ac:dyDescent="0.25">
      <c r="C28" s="137"/>
      <c r="G28" s="41" t="s">
        <v>178</v>
      </c>
      <c r="H28" s="212"/>
      <c r="I28" s="41" t="s">
        <v>179</v>
      </c>
    </row>
    <row r="29" spans="1:10" x14ac:dyDescent="0.25">
      <c r="C29" s="139"/>
      <c r="H29" s="212"/>
    </row>
    <row r="30" spans="1:10" x14ac:dyDescent="0.25">
      <c r="C30" s="139"/>
      <c r="H30" s="212"/>
    </row>
    <row r="31" spans="1:10" ht="15.75" thickBot="1" x14ac:dyDescent="0.3">
      <c r="A31" s="77" t="s">
        <v>110</v>
      </c>
      <c r="G31" s="140">
        <v>5000</v>
      </c>
      <c r="H31" s="212"/>
      <c r="I31" s="140">
        <v>10000</v>
      </c>
      <c r="J31" s="41" t="s">
        <v>301</v>
      </c>
    </row>
    <row r="32" spans="1:10" ht="15.75" thickTop="1" x14ac:dyDescent="0.25">
      <c r="A32" s="77"/>
      <c r="G32" s="48"/>
      <c r="H32" s="48"/>
    </row>
    <row r="33" spans="1:9" ht="29.45" customHeight="1" x14ac:dyDescent="0.25">
      <c r="A33" s="234" t="s">
        <v>185</v>
      </c>
      <c r="B33" s="235"/>
      <c r="C33" s="235"/>
      <c r="D33" s="235"/>
      <c r="E33" s="235"/>
      <c r="F33" s="235"/>
      <c r="G33" s="235"/>
      <c r="H33" s="236"/>
      <c r="I33" s="236"/>
    </row>
    <row r="34" spans="1:9" ht="20.25" customHeight="1" x14ac:dyDescent="0.25"/>
    <row r="35" spans="1:9" ht="20.25" customHeight="1" x14ac:dyDescent="0.25">
      <c r="A35" s="41" t="s">
        <v>252</v>
      </c>
    </row>
    <row r="37" spans="1:9" ht="46.5" customHeight="1" x14ac:dyDescent="0.25">
      <c r="A37" s="455" t="s">
        <v>300</v>
      </c>
      <c r="B37" s="451"/>
      <c r="C37" s="451"/>
      <c r="D37" s="451"/>
      <c r="E37" s="451"/>
      <c r="F37" s="451"/>
      <c r="G37" s="451"/>
      <c r="H37" s="451"/>
      <c r="I37" s="451"/>
    </row>
    <row r="39" spans="1:9" ht="30" customHeight="1" x14ac:dyDescent="0.25">
      <c r="A39" s="451" t="s">
        <v>296</v>
      </c>
      <c r="B39" s="451"/>
      <c r="C39" s="451"/>
      <c r="D39" s="451"/>
      <c r="E39" s="451"/>
      <c r="F39" s="451"/>
      <c r="G39" s="451"/>
      <c r="H39" s="451"/>
      <c r="I39" s="451"/>
    </row>
    <row r="41" spans="1:9" ht="17.25" customHeight="1" x14ac:dyDescent="0.25">
      <c r="A41" s="451" t="s">
        <v>549</v>
      </c>
      <c r="B41" s="452"/>
      <c r="C41" s="452"/>
      <c r="D41" s="452"/>
      <c r="E41" s="452"/>
      <c r="F41" s="452"/>
      <c r="G41" s="452"/>
      <c r="H41" s="452"/>
      <c r="I41" s="452"/>
    </row>
    <row r="42" spans="1:9" x14ac:dyDescent="0.25">
      <c r="A42" s="452"/>
      <c r="B42" s="452"/>
      <c r="C42" s="452"/>
      <c r="D42" s="452"/>
      <c r="E42" s="452"/>
      <c r="F42" s="452"/>
      <c r="G42" s="452"/>
      <c r="H42" s="452"/>
      <c r="I42" s="452"/>
    </row>
    <row r="43" spans="1:9" ht="13.5" customHeight="1" x14ac:dyDescent="0.25">
      <c r="A43" s="452"/>
      <c r="B43" s="452"/>
      <c r="C43" s="452"/>
      <c r="D43" s="452"/>
      <c r="E43" s="452"/>
      <c r="F43" s="452"/>
      <c r="G43" s="452"/>
      <c r="H43" s="452"/>
      <c r="I43" s="452"/>
    </row>
    <row r="44" spans="1:9" hidden="1" x14ac:dyDescent="0.25">
      <c r="A44" s="452"/>
      <c r="B44" s="452"/>
      <c r="C44" s="452"/>
      <c r="D44" s="452"/>
      <c r="E44" s="452"/>
      <c r="F44" s="452"/>
      <c r="G44" s="452"/>
      <c r="H44" s="452"/>
      <c r="I44" s="452"/>
    </row>
  </sheetData>
  <mergeCells count="4">
    <mergeCell ref="A41:I44"/>
    <mergeCell ref="E4:G4"/>
    <mergeCell ref="A39:I39"/>
    <mergeCell ref="A37:I37"/>
  </mergeCells>
  <phoneticPr fontId="7" type="noConversion"/>
  <printOptions headings="1"/>
  <pageMargins left="0.5" right="0.5" top="1" bottom="1" header="0.5" footer="0.5"/>
  <pageSetup scale="79" orientation="portrait" r:id="rId1"/>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 here-do not delete</vt:lpstr>
      <vt:lpstr>Exh A Rate Info Sheet</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B-2 Carryforward &amp; Rate SW</vt:lpstr>
      <vt:lpstr>Exh B-4 (PRO-FIN)</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2024-10-29T22:37:24Z</cp:lastPrinted>
  <dcterms:created xsi:type="dcterms:W3CDTF">2004-03-26T21:50:53Z</dcterms:created>
  <dcterms:modified xsi:type="dcterms:W3CDTF">2024-12-12T19:46:05Z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